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chartsheets/sheet8.xml" ContentType="application/vnd.openxmlformats-officedocument.spreadsheetml.chartsheet+xml"/>
  <Override PartName="/xl/drawings/drawing1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3" activeTab="7"/>
  </bookViews>
  <sheets>
    <sheet name="Dados-Itanhaem" sheetId="1" r:id="rId1"/>
    <sheet name="Curva-Itanhaem" sheetId="2" r:id="rId2"/>
    <sheet name="Curva-Itanhaem2" sheetId="3" r:id="rId3"/>
    <sheet name="Dados-Bertioga" sheetId="4" r:id="rId4"/>
    <sheet name="Curva-Bertioga" sheetId="5" r:id="rId5"/>
    <sheet name="Curva-Bertioga2" sheetId="6" r:id="rId6"/>
    <sheet name="Dados-Mongagua" sheetId="7" r:id="rId7"/>
    <sheet name="Comparageral" sheetId="8" r:id="rId8"/>
    <sheet name="Curva-Mongaguá" sheetId="9" r:id="rId9"/>
    <sheet name="Curva-Mongagua2" sheetId="10" r:id="rId10"/>
    <sheet name="Curva-Ita-Monga-Berti" sheetId="11" r:id="rId11"/>
    <sheet name="Dados-Campana" sheetId="12" r:id="rId12"/>
  </sheets>
  <externalReferences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<sst xmlns="http://schemas.openxmlformats.org/spreadsheetml/2006/main" count="131" uniqueCount="90">
  <si>
    <t>Áera Homogênea</t>
  </si>
  <si>
    <t>Área (ha)</t>
  </si>
  <si>
    <t>% impermeável</t>
  </si>
  <si>
    <t>% diretamente conecteda</t>
  </si>
  <si>
    <t>Número de domicílios</t>
  </si>
  <si>
    <t>Densidade (domicílios/ha)</t>
  </si>
  <si>
    <t>Densidade (hab/ha)</t>
  </si>
  <si>
    <t>AH1</t>
  </si>
  <si>
    <t>AH2</t>
  </si>
  <si>
    <t>AH3</t>
  </si>
  <si>
    <t>AH4</t>
  </si>
  <si>
    <t>AH5</t>
  </si>
  <si>
    <t>AH6</t>
  </si>
  <si>
    <t>Total</t>
  </si>
  <si>
    <t>Ano-base: 1997</t>
  </si>
  <si>
    <t>-</t>
  </si>
  <si>
    <t>hab/dom</t>
  </si>
  <si>
    <t>hab/dom permanente para 2000</t>
  </si>
  <si>
    <t>hor. Proj.</t>
  </si>
  <si>
    <t>Área</t>
  </si>
  <si>
    <t>Nº Dom.</t>
  </si>
  <si>
    <t>Área ocupada</t>
  </si>
  <si>
    <t>Dom/ha</t>
  </si>
  <si>
    <t>% imp.</t>
  </si>
  <si>
    <t>%diret con.</t>
  </si>
  <si>
    <t>ajuste</t>
  </si>
  <si>
    <t>dom/ha</t>
  </si>
  <si>
    <t>4th Degree Polynomial Fit:  y=a+bx+cx^2+dx^3...</t>
  </si>
  <si>
    <t>Coefficient Data:</t>
  </si>
  <si>
    <t>a =</t>
  </si>
  <si>
    <t>b =</t>
  </si>
  <si>
    <t>c =</t>
  </si>
  <si>
    <t>d =</t>
  </si>
  <si>
    <t>e =</t>
  </si>
  <si>
    <t>hab/ha</t>
  </si>
  <si>
    <t>% imp</t>
  </si>
  <si>
    <t>y = -0.0011x2 + 0.049x + 0.066</t>
  </si>
  <si>
    <t>Curva % imp.:</t>
  </si>
  <si>
    <t>y = -0.0007x2 + 0.0263x + 0.0616</t>
  </si>
  <si>
    <t>Curva %dir conect.:</t>
  </si>
  <si>
    <t>Área Homogênea</t>
  </si>
  <si>
    <t>área imper.(%)</t>
  </si>
  <si>
    <t>média área imper.(%)</t>
  </si>
  <si>
    <t>área da amostra</t>
  </si>
  <si>
    <t>área total ocupada</t>
  </si>
  <si>
    <t>área amostra/área total</t>
  </si>
  <si>
    <t>área diret. conec.(%)</t>
  </si>
  <si>
    <t>área não diret.conec. (%)</t>
  </si>
  <si>
    <t>amostra</t>
  </si>
  <si>
    <t>inteira</t>
  </si>
  <si>
    <t>meia</t>
  </si>
  <si>
    <t>Fabio</t>
  </si>
  <si>
    <t>Chico</t>
  </si>
  <si>
    <t>Nº de domicilios 1997</t>
  </si>
  <si>
    <t>(ha)</t>
  </si>
  <si>
    <t>Exponential Association (3): y=a(b-exp(-cx))</t>
  </si>
  <si>
    <t>Valores Região Metropolitana de São Paulo</t>
  </si>
  <si>
    <t>Localização</t>
  </si>
  <si>
    <t>densidade (hab/ha)</t>
  </si>
  <si>
    <t>Santo André</t>
  </si>
  <si>
    <t>V. Floresta</t>
  </si>
  <si>
    <t>Planalto</t>
  </si>
  <si>
    <t>Jordanópolis</t>
  </si>
  <si>
    <t>Rudge Ramos</t>
  </si>
  <si>
    <t>Baeta Neves</t>
  </si>
  <si>
    <t>Assunção</t>
  </si>
  <si>
    <t>São Caetano</t>
  </si>
  <si>
    <t>Diadema</t>
  </si>
  <si>
    <t>Vila Alice</t>
  </si>
  <si>
    <t>Piraporinha</t>
  </si>
  <si>
    <t>Fonte: RBE, Caderno de Recursos Hídricos, Vol 12, n 2, pg 79-94</t>
  </si>
  <si>
    <t>Valores Região Metropolitana de Curitiba</t>
  </si>
  <si>
    <t>Água Verde</t>
  </si>
  <si>
    <t>&gt;90</t>
  </si>
  <si>
    <t>Centro</t>
  </si>
  <si>
    <t>Rebouças</t>
  </si>
  <si>
    <t>70-90</t>
  </si>
  <si>
    <t>Prado Velho</t>
  </si>
  <si>
    <t>35-50</t>
  </si>
  <si>
    <t>J das Américas</t>
  </si>
  <si>
    <t>Bairro Alto</t>
  </si>
  <si>
    <t>Xaxim</t>
  </si>
  <si>
    <t>50-70</t>
  </si>
  <si>
    <t>C. Comprido</t>
  </si>
  <si>
    <t>Uberaba</t>
  </si>
  <si>
    <t>20-35</t>
  </si>
  <si>
    <t>Boqueirão</t>
  </si>
  <si>
    <t>10-20</t>
  </si>
  <si>
    <t>imp</t>
  </si>
  <si>
    <t>original do chico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</si>
</sst>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0.000"/>
    <numFmt numFmtId="172" formatCode="0.0%"/>
    <numFmt numFmtId="173" formatCode="0.0000"/>
    <numFmt numFmtId="174" formatCode="0.00000000"/>
    <numFmt numFmtId="175" formatCode="0.0000000"/>
    <numFmt numFmtId="176" formatCode="0.000000"/>
    <numFmt numFmtId="177" formatCode="0.00000"/>
    <numFmt numFmtId="178" formatCode="0.000E+00"/>
    <numFmt numFmtId="179" formatCode="0.0E+00"/>
    <numFmt numFmtId="180" formatCode="0E+00"/>
    <numFmt numFmtId="181" formatCode="0.000%"/>
  </numFmts>
  <fonts count="8">
    <font>
      <sz val="10"/>
      <name val="Arial"/>
      <family val="0"/>
    </font>
    <font>
      <sz val="12"/>
      <name val="Arial"/>
      <family val="0"/>
    </font>
    <font>
      <sz val="15"/>
      <name val="Arial"/>
      <family val="2"/>
    </font>
    <font>
      <sz val="14"/>
      <name val="Arial"/>
      <family val="2"/>
    </font>
    <font>
      <sz val="10"/>
      <color indexed="17"/>
      <name val="Arial"/>
      <family val="2"/>
    </font>
    <font>
      <vertAlign val="superscript"/>
      <sz val="12"/>
      <name val="Arial"/>
      <family val="0"/>
    </font>
    <font>
      <b/>
      <sz val="10"/>
      <color indexed="17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9" fontId="0" fillId="0" borderId="0" xfId="21" applyAlignment="1">
      <alignment/>
    </xf>
    <xf numFmtId="1" fontId="4" fillId="0" borderId="0" xfId="0" applyNumberFormat="1" applyFont="1" applyAlignment="1">
      <alignment/>
    </xf>
    <xf numFmtId="172" fontId="6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9" fontId="0" fillId="2" borderId="1" xfId="2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9" fontId="0" fillId="3" borderId="1" xfId="2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9" fontId="0" fillId="4" borderId="1" xfId="2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2" fontId="0" fillId="5" borderId="1" xfId="0" applyNumberFormat="1" applyFont="1" applyFill="1" applyBorder="1" applyAlignment="1">
      <alignment horizontal="center"/>
    </xf>
    <xf numFmtId="9" fontId="0" fillId="5" borderId="1" xfId="21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 horizontal="center"/>
    </xf>
    <xf numFmtId="9" fontId="0" fillId="6" borderId="1" xfId="2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9" fontId="0" fillId="0" borderId="1" xfId="2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9" fontId="0" fillId="0" borderId="1" xfId="21" applyFont="1" applyBorder="1" applyAlignment="1">
      <alignment/>
    </xf>
    <xf numFmtId="9" fontId="0" fillId="0" borderId="0" xfId="2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11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9" fontId="0" fillId="2" borderId="0" xfId="0" applyNumberFormat="1" applyFill="1" applyAlignment="1">
      <alignment/>
    </xf>
    <xf numFmtId="9" fontId="6" fillId="0" borderId="0" xfId="21" applyFont="1" applyAlignment="1">
      <alignment horizontal="center"/>
    </xf>
    <xf numFmtId="9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Currency [0]_Impermeavel" xfId="19"/>
    <cellStyle name="Currency_Impermeavel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65"/>
          <c:w val="0.97175"/>
          <c:h val="0.93125"/>
        </c:manualLayout>
      </c:layout>
      <c:scatterChart>
        <c:scatterStyle val="lineMarker"/>
        <c:varyColors val="0"/>
        <c:ser>
          <c:idx val="0"/>
          <c:order val="0"/>
          <c:tx>
            <c:v>% impermeavel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'Dados-Itanhaem'!$F$3:$F$7</c:f>
              <c:numCache>
                <c:ptCount val="5"/>
                <c:pt idx="0">
                  <c:v>21.353163646488316</c:v>
                </c:pt>
                <c:pt idx="1">
                  <c:v>11.638164571934405</c:v>
                </c:pt>
                <c:pt idx="2">
                  <c:v>4.362536297734666</c:v>
                </c:pt>
                <c:pt idx="3">
                  <c:v>1.658608400014828</c:v>
                </c:pt>
                <c:pt idx="4">
                  <c:v>0.35196401444157277</c:v>
                </c:pt>
              </c:numCache>
            </c:numRef>
          </c:xVal>
          <c:yVal>
            <c:numRef>
              <c:f>'Dados-Itanhaem'!$C$3:$C$7</c:f>
              <c:numCache>
                <c:ptCount val="5"/>
                <c:pt idx="0">
                  <c:v>0.6</c:v>
                </c:pt>
                <c:pt idx="1">
                  <c:v>0.45</c:v>
                </c:pt>
                <c:pt idx="2">
                  <c:v>0.3</c:v>
                </c:pt>
                <c:pt idx="3">
                  <c:v>0.17</c:v>
                </c:pt>
                <c:pt idx="4">
                  <c:v>0.04</c:v>
                </c:pt>
              </c:numCache>
            </c:numRef>
          </c:yVal>
          <c:smooth val="0"/>
        </c:ser>
        <c:ser>
          <c:idx val="1"/>
          <c:order val="1"/>
          <c:tx>
            <c:v>% diretamente conectada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'Dados-Itanhaem'!$F$3:$F$7</c:f>
              <c:numCache>
                <c:ptCount val="5"/>
                <c:pt idx="0">
                  <c:v>21.353163646488316</c:v>
                </c:pt>
                <c:pt idx="1">
                  <c:v>11.638164571934405</c:v>
                </c:pt>
                <c:pt idx="2">
                  <c:v>4.362536297734666</c:v>
                </c:pt>
                <c:pt idx="3">
                  <c:v>1.658608400014828</c:v>
                </c:pt>
                <c:pt idx="4">
                  <c:v>0.35196401444157277</c:v>
                </c:pt>
              </c:numCache>
            </c:numRef>
          </c:xVal>
          <c:yVal>
            <c:numRef>
              <c:f>'Dados-Itanhaem'!$D$3:$D$7</c:f>
              <c:numCache>
                <c:ptCount val="5"/>
                <c:pt idx="0">
                  <c:v>0.33</c:v>
                </c:pt>
                <c:pt idx="1">
                  <c:v>0.25</c:v>
                </c:pt>
                <c:pt idx="2">
                  <c:v>0.2</c:v>
                </c:pt>
                <c:pt idx="3">
                  <c:v>0.13</c:v>
                </c:pt>
                <c:pt idx="4">
                  <c:v>0.03</c:v>
                </c:pt>
              </c:numCache>
            </c:numRef>
          </c:yVal>
          <c:smooth val="0"/>
        </c:ser>
        <c:axId val="3115198"/>
        <c:axId val="28036783"/>
      </c:scatterChart>
      <c:valAx>
        <c:axId val="311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Arial"/>
                    <a:ea typeface="Arial"/>
                    <a:cs typeface="Arial"/>
                  </a:rPr>
                  <a:t>Densidade Média Residencial (dom/ha)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8036783"/>
        <c:crosses val="autoZero"/>
        <c:crossBetween val="midCat"/>
        <c:dispUnits/>
      </c:valAx>
      <c:valAx>
        <c:axId val="280367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11519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385"/>
          <c:w val="0.91075"/>
          <c:h val="0.898"/>
        </c:manualLayout>
      </c:layout>
      <c:scatterChart>
        <c:scatterStyle val="lineMarker"/>
        <c:varyColors val="0"/>
        <c:ser>
          <c:idx val="0"/>
          <c:order val="0"/>
          <c:tx>
            <c:v>Itanhaém - % impermeável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'Dados-Itanhaem'!$A$18:$A$38</c:f>
              <c:numCache>
                <c:ptCount val="21"/>
                <c:pt idx="0">
                  <c:v>0.5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'Dados-Itanhaem'!$C$18:$C$38</c:f>
              <c:numCache>
                <c:ptCount val="21"/>
                <c:pt idx="0">
                  <c:v>0.0726539486197771</c:v>
                </c:pt>
                <c:pt idx="1">
                  <c:v>0.1913235929064602</c:v>
                </c:pt>
                <c:pt idx="2">
                  <c:v>0.3003200710990641</c:v>
                </c:pt>
                <c:pt idx="3">
                  <c:v>0.39298943457781177</c:v>
                </c:pt>
                <c:pt idx="4">
                  <c:v>0.4693316833427032</c:v>
                </c:pt>
                <c:pt idx="5">
                  <c:v>0.5293468173937381</c:v>
                </c:pt>
                <c:pt idx="6">
                  <c:v>0.573034836730917</c:v>
                </c:pt>
                <c:pt idx="7">
                  <c:v>0.6</c:v>
                </c:pt>
                <c:pt idx="8">
                  <c:v>0.6019398323709599</c:v>
                </c:pt>
                <c:pt idx="9">
                  <c:v>0.6019398323709599</c:v>
                </c:pt>
                <c:pt idx="10">
                  <c:v>0.6019398323709599</c:v>
                </c:pt>
                <c:pt idx="11">
                  <c:v>0.6019398323709599</c:v>
                </c:pt>
                <c:pt idx="12">
                  <c:v>0.6019398323709599</c:v>
                </c:pt>
                <c:pt idx="13">
                  <c:v>0.6019398323709599</c:v>
                </c:pt>
                <c:pt idx="14">
                  <c:v>0.6019398323709599</c:v>
                </c:pt>
                <c:pt idx="15">
                  <c:v>0.6019398323709599</c:v>
                </c:pt>
                <c:pt idx="16">
                  <c:v>0.6019398323709599</c:v>
                </c:pt>
                <c:pt idx="17">
                  <c:v>0.6019398323709599</c:v>
                </c:pt>
                <c:pt idx="18">
                  <c:v>0.6019398323709599</c:v>
                </c:pt>
                <c:pt idx="19">
                  <c:v>0.6019398323709599</c:v>
                </c:pt>
                <c:pt idx="20">
                  <c:v>0.6019398323709599</c:v>
                </c:pt>
              </c:numCache>
            </c:numRef>
          </c:yVal>
          <c:smooth val="1"/>
        </c:ser>
        <c:ser>
          <c:idx val="2"/>
          <c:order val="1"/>
          <c:tx>
            <c:v>Itanhaém - % diretamente conectada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'Dados-Itanhaem'!$A$18:$A$38</c:f>
              <c:numCache>
                <c:ptCount val="21"/>
                <c:pt idx="0">
                  <c:v>0.5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xVal>
          <c:yVal>
            <c:numRef>
              <c:f>'Dados-Itanhaem'!$D$18:$D$38</c:f>
              <c:numCache>
                <c:ptCount val="21"/>
                <c:pt idx="0">
                  <c:v>0.06516937175904702</c:v>
                </c:pt>
                <c:pt idx="1">
                  <c:v>0.1280521936878885</c:v>
                </c:pt>
                <c:pt idx="2">
                  <c:v>0.18411440528514117</c:v>
                </c:pt>
                <c:pt idx="3">
                  <c:v>0.22978663479175804</c:v>
                </c:pt>
                <c:pt idx="4">
                  <c:v>0.26506888220773905</c:v>
                </c:pt>
                <c:pt idx="5">
                  <c:v>0.28996114753308433</c:v>
                </c:pt>
                <c:pt idx="6">
                  <c:v>0.30446343076779375</c:v>
                </c:pt>
                <c:pt idx="7">
                  <c:v>0.3085757319118674</c:v>
                </c:pt>
                <c:pt idx="8">
                  <c:v>0.3085757319118674</c:v>
                </c:pt>
                <c:pt idx="9">
                  <c:v>0.3085757319118674</c:v>
                </c:pt>
                <c:pt idx="10">
                  <c:v>0.3085757319118674</c:v>
                </c:pt>
                <c:pt idx="11">
                  <c:v>0.3085757319118674</c:v>
                </c:pt>
                <c:pt idx="12">
                  <c:v>0.3085757319118674</c:v>
                </c:pt>
                <c:pt idx="13">
                  <c:v>0.3085757319118674</c:v>
                </c:pt>
                <c:pt idx="14">
                  <c:v>0.3085757319118674</c:v>
                </c:pt>
                <c:pt idx="15">
                  <c:v>0.3085757319118674</c:v>
                </c:pt>
                <c:pt idx="16">
                  <c:v>0.3085757319118674</c:v>
                </c:pt>
                <c:pt idx="17">
                  <c:v>0.3085757319118674</c:v>
                </c:pt>
                <c:pt idx="18">
                  <c:v>0.3085757319118674</c:v>
                </c:pt>
                <c:pt idx="19">
                  <c:v>0.3085757319118674</c:v>
                </c:pt>
                <c:pt idx="20">
                  <c:v>0.3085757319118674</c:v>
                </c:pt>
              </c:numCache>
            </c:numRef>
          </c:yVal>
          <c:smooth val="1"/>
        </c:ser>
        <c:ser>
          <c:idx val="1"/>
          <c:order val="2"/>
          <c:tx>
            <c:v>Campana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'Dados-Campana'!$A$2:$A$19</c:f>
              <c:numCache>
                <c:ptCount val="18"/>
                <c:pt idx="0">
                  <c:v>14.18</c:v>
                </c:pt>
                <c:pt idx="1">
                  <c:v>24.33</c:v>
                </c:pt>
                <c:pt idx="2">
                  <c:v>32.52</c:v>
                </c:pt>
                <c:pt idx="3">
                  <c:v>43.24</c:v>
                </c:pt>
                <c:pt idx="4">
                  <c:v>51.42</c:v>
                </c:pt>
                <c:pt idx="5">
                  <c:v>62.71</c:v>
                </c:pt>
                <c:pt idx="6">
                  <c:v>69.76</c:v>
                </c:pt>
                <c:pt idx="7">
                  <c:v>79.36</c:v>
                </c:pt>
                <c:pt idx="8">
                  <c:v>87.82</c:v>
                </c:pt>
                <c:pt idx="9">
                  <c:v>95.44</c:v>
                </c:pt>
                <c:pt idx="10">
                  <c:v>101.37</c:v>
                </c:pt>
                <c:pt idx="11">
                  <c:v>109.83</c:v>
                </c:pt>
                <c:pt idx="12">
                  <c:v>118.86</c:v>
                </c:pt>
                <c:pt idx="13">
                  <c:v>129.3</c:v>
                </c:pt>
                <c:pt idx="14">
                  <c:v>143.41</c:v>
                </c:pt>
                <c:pt idx="15">
                  <c:v>158.08</c:v>
                </c:pt>
                <c:pt idx="16">
                  <c:v>179.24</c:v>
                </c:pt>
                <c:pt idx="17">
                  <c:v>196.17</c:v>
                </c:pt>
              </c:numCache>
            </c:numRef>
          </c:xVal>
          <c:yVal>
            <c:numRef>
              <c:f>'Dados-Campana'!$C$2:$C$19</c:f>
              <c:numCache>
                <c:ptCount val="18"/>
                <c:pt idx="0">
                  <c:v>0.0467</c:v>
                </c:pt>
                <c:pt idx="1">
                  <c:v>0.09880000000000001</c:v>
                </c:pt>
                <c:pt idx="2">
                  <c:v>0.1435</c:v>
                </c:pt>
                <c:pt idx="3">
                  <c:v>0.20190000000000002</c:v>
                </c:pt>
                <c:pt idx="4">
                  <c:v>0.24559999999999998</c:v>
                </c:pt>
                <c:pt idx="5">
                  <c:v>0.3071</c:v>
                </c:pt>
                <c:pt idx="6">
                  <c:v>0.3467</c:v>
                </c:pt>
                <c:pt idx="7">
                  <c:v>0.3935</c:v>
                </c:pt>
                <c:pt idx="8">
                  <c:v>0.4435</c:v>
                </c:pt>
                <c:pt idx="9">
                  <c:v>0.4842</c:v>
                </c:pt>
                <c:pt idx="10">
                  <c:v>0.5133</c:v>
                </c:pt>
                <c:pt idx="11">
                  <c:v>0.5488000000000001</c:v>
                </c:pt>
                <c:pt idx="12">
                  <c:v>0.5748</c:v>
                </c:pt>
                <c:pt idx="13">
                  <c:v>0.5915</c:v>
                </c:pt>
                <c:pt idx="14">
                  <c:v>0.6019</c:v>
                </c:pt>
                <c:pt idx="15">
                  <c:v>0.6113000000000001</c:v>
                </c:pt>
                <c:pt idx="16">
                  <c:v>0.6185</c:v>
                </c:pt>
                <c:pt idx="17">
                  <c:v>0.6258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'Dados-Itanhaem'!$G$3:$G$7</c:f>
              <c:numCache>
                <c:ptCount val="5"/>
                <c:pt idx="0">
                  <c:v>78.38245228948443</c:v>
                </c:pt>
                <c:pt idx="1">
                  <c:v>42.72097073760024</c:v>
                </c:pt>
                <c:pt idx="2">
                  <c:v>16.013846888424286</c:v>
                </c:pt>
                <c:pt idx="3">
                  <c:v>6.088362171217695</c:v>
                </c:pt>
                <c:pt idx="4">
                  <c:v>1.2919772932157059</c:v>
                </c:pt>
              </c:numCache>
            </c:numRef>
          </c:xVal>
          <c:yVal>
            <c:numRef>
              <c:f>'Dados-Itanhaem'!$C$3:$C$7</c:f>
              <c:numCache>
                <c:ptCount val="5"/>
                <c:pt idx="0">
                  <c:v>0.6</c:v>
                </c:pt>
                <c:pt idx="1">
                  <c:v>0.45</c:v>
                </c:pt>
                <c:pt idx="2">
                  <c:v>0.3</c:v>
                </c:pt>
                <c:pt idx="3">
                  <c:v>0.17</c:v>
                </c:pt>
                <c:pt idx="4">
                  <c:v>0.04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'Dados-Itanhaem'!$G$3:$G$7</c:f>
              <c:numCache>
                <c:ptCount val="5"/>
                <c:pt idx="0">
                  <c:v>78.38245228948443</c:v>
                </c:pt>
                <c:pt idx="1">
                  <c:v>42.72097073760024</c:v>
                </c:pt>
                <c:pt idx="2">
                  <c:v>16.013846888424286</c:v>
                </c:pt>
                <c:pt idx="3">
                  <c:v>6.088362171217695</c:v>
                </c:pt>
                <c:pt idx="4">
                  <c:v>1.2919772932157059</c:v>
                </c:pt>
              </c:numCache>
            </c:numRef>
          </c:xVal>
          <c:yVal>
            <c:numRef>
              <c:f>'Dados-Itanhaem'!$D$3:$D$7</c:f>
              <c:numCache>
                <c:ptCount val="5"/>
                <c:pt idx="0">
                  <c:v>0.33</c:v>
                </c:pt>
                <c:pt idx="1">
                  <c:v>0.25</c:v>
                </c:pt>
                <c:pt idx="2">
                  <c:v>0.2</c:v>
                </c:pt>
                <c:pt idx="3">
                  <c:v>0.13</c:v>
                </c:pt>
                <c:pt idx="4">
                  <c:v>0.03</c:v>
                </c:pt>
              </c:numCache>
            </c:numRef>
          </c:yVal>
          <c:smooth val="0"/>
        </c:ser>
        <c:axId val="51004456"/>
        <c:axId val="56386921"/>
      </c:scatterChart>
      <c:valAx>
        <c:axId val="51004456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Arial"/>
                    <a:ea typeface="Arial"/>
                    <a:cs typeface="Arial"/>
                  </a:rPr>
                  <a:t>Densidade Média Populacional (hab/ha)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6386921"/>
        <c:crosses val="autoZero"/>
        <c:crossBetween val="midCat"/>
        <c:dispUnits/>
      </c:valAx>
      <c:valAx>
        <c:axId val="56386921"/>
        <c:scaling>
          <c:orientation val="minMax"/>
          <c:max val="0.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1004456"/>
        <c:crosses val="autoZero"/>
        <c:crossBetween val="midCat"/>
        <c:dispUnits/>
        <c:majorUnit val="0.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36"/>
          <c:h val="0.925"/>
        </c:manualLayout>
      </c:layout>
      <c:scatterChart>
        <c:scatterStyle val="lineMarker"/>
        <c:varyColors val="0"/>
        <c:ser>
          <c:idx val="0"/>
          <c:order val="0"/>
          <c:tx>
            <c:v>Bertioga - % impermeável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'Dados-Bertioga'!$D$3:$D$15</c:f>
              <c:numCache>
                <c:ptCount val="13"/>
                <c:pt idx="0">
                  <c:v>12.706697958665766</c:v>
                </c:pt>
                <c:pt idx="1">
                  <c:v>12.263659151570952</c:v>
                </c:pt>
                <c:pt idx="3">
                  <c:v>9.082228291491422</c:v>
                </c:pt>
                <c:pt idx="4">
                  <c:v>2.390219356776396</c:v>
                </c:pt>
                <c:pt idx="5">
                  <c:v>7.650077143782148</c:v>
                </c:pt>
                <c:pt idx="7">
                  <c:v>2.4205111134166932</c:v>
                </c:pt>
                <c:pt idx="8">
                  <c:v>16.629469849471917</c:v>
                </c:pt>
                <c:pt idx="9">
                  <c:v>8.732103004214158</c:v>
                </c:pt>
                <c:pt idx="10">
                  <c:v>1.857185970208566</c:v>
                </c:pt>
                <c:pt idx="11">
                  <c:v>2.897244909678946</c:v>
                </c:pt>
                <c:pt idx="12">
                  <c:v>4.3684800104036485</c:v>
                </c:pt>
              </c:numCache>
            </c:numRef>
          </c:xVal>
          <c:yVal>
            <c:numRef>
              <c:f>'Dados-Bertioga'!$F$3:$F$15</c:f>
              <c:numCache>
                <c:ptCount val="13"/>
                <c:pt idx="0">
                  <c:v>0.31312999999999996</c:v>
                </c:pt>
                <c:pt idx="1">
                  <c:v>0.26649999999999996</c:v>
                </c:pt>
                <c:pt idx="2">
                  <c:v>0.04223</c:v>
                </c:pt>
                <c:pt idx="3">
                  <c:v>0.26344</c:v>
                </c:pt>
                <c:pt idx="4">
                  <c:v>0.12678</c:v>
                </c:pt>
                <c:pt idx="5">
                  <c:v>0.20425000000000001</c:v>
                </c:pt>
                <c:pt idx="6">
                  <c:v>0</c:v>
                </c:pt>
                <c:pt idx="7">
                  <c:v>0.20772</c:v>
                </c:pt>
                <c:pt idx="8">
                  <c:v>0.37751</c:v>
                </c:pt>
                <c:pt idx="9">
                  <c:v>0.30246</c:v>
                </c:pt>
                <c:pt idx="10">
                  <c:v>0.14987999999999999</c:v>
                </c:pt>
                <c:pt idx="11">
                  <c:v>0.1435</c:v>
                </c:pt>
                <c:pt idx="12">
                  <c:v>0.1875</c:v>
                </c:pt>
              </c:numCache>
            </c:numRef>
          </c:yVal>
          <c:smooth val="0"/>
        </c:ser>
        <c:ser>
          <c:idx val="1"/>
          <c:order val="1"/>
          <c:tx>
            <c:v>Bertioga - % diretamente conectada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numRef>
              <c:f>'Dados-Bertioga'!$D$3:$D$15</c:f>
              <c:numCache>
                <c:ptCount val="13"/>
                <c:pt idx="0">
                  <c:v>12.706697958665766</c:v>
                </c:pt>
                <c:pt idx="1">
                  <c:v>12.263659151570952</c:v>
                </c:pt>
                <c:pt idx="3">
                  <c:v>9.082228291491422</c:v>
                </c:pt>
                <c:pt idx="4">
                  <c:v>2.390219356776396</c:v>
                </c:pt>
                <c:pt idx="5">
                  <c:v>7.650077143782148</c:v>
                </c:pt>
                <c:pt idx="7">
                  <c:v>2.4205111134166932</c:v>
                </c:pt>
                <c:pt idx="8">
                  <c:v>16.629469849471917</c:v>
                </c:pt>
                <c:pt idx="9">
                  <c:v>8.732103004214158</c:v>
                </c:pt>
                <c:pt idx="10">
                  <c:v>1.857185970208566</c:v>
                </c:pt>
                <c:pt idx="11">
                  <c:v>2.897244909678946</c:v>
                </c:pt>
                <c:pt idx="12">
                  <c:v>4.3684800104036485</c:v>
                </c:pt>
              </c:numCache>
            </c:numRef>
          </c:xVal>
          <c:yVal>
            <c:numRef>
              <c:f>'Dados-Bertioga'!$G$3:$G$15</c:f>
              <c:numCache>
                <c:ptCount val="13"/>
                <c:pt idx="0">
                  <c:v>0.13283</c:v>
                </c:pt>
                <c:pt idx="1">
                  <c:v>0.07963</c:v>
                </c:pt>
                <c:pt idx="2">
                  <c:v>0.028140000000000002</c:v>
                </c:pt>
                <c:pt idx="3">
                  <c:v>0.12365999999999999</c:v>
                </c:pt>
                <c:pt idx="4">
                  <c:v>0.08094</c:v>
                </c:pt>
                <c:pt idx="5">
                  <c:v>0.07417</c:v>
                </c:pt>
                <c:pt idx="6">
                  <c:v>0</c:v>
                </c:pt>
                <c:pt idx="7">
                  <c:v>0.07647</c:v>
                </c:pt>
                <c:pt idx="8">
                  <c:v>0.10381</c:v>
                </c:pt>
                <c:pt idx="9">
                  <c:v>0.11696</c:v>
                </c:pt>
                <c:pt idx="10">
                  <c:v>0.10207000000000001</c:v>
                </c:pt>
                <c:pt idx="11">
                  <c:v>0.09000999999999999</c:v>
                </c:pt>
                <c:pt idx="12">
                  <c:v>0.0882</c:v>
                </c:pt>
              </c:numCache>
            </c:numRef>
          </c:yVal>
          <c:smooth val="0"/>
        </c:ser>
        <c:ser>
          <c:idx val="3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linear"/>
            <c:dispEq val="0"/>
            <c:dispRSqr val="0"/>
          </c:trendline>
          <c:xVal>
            <c:numRef>
              <c:f>'Dados-Bertioga'!$H$3:$H$7</c:f>
              <c:numCache>
                <c:ptCount val="5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xVal>
          <c:yVal>
            <c:numRef>
              <c:f>'Dados-Bertioga'!$J$3:$J$7</c:f>
              <c:numCache>
                <c:ptCount val="5"/>
                <c:pt idx="0">
                  <c:v>0.09000000000000001</c:v>
                </c:pt>
                <c:pt idx="1">
                  <c:v>0.17</c:v>
                </c:pt>
                <c:pt idx="2">
                  <c:v>0.27</c:v>
                </c:pt>
                <c:pt idx="3">
                  <c:v>0.37</c:v>
                </c:pt>
                <c:pt idx="4">
                  <c:v>0.47</c:v>
                </c:pt>
              </c:numCache>
            </c:numRef>
          </c:yVal>
          <c:smooth val="0"/>
        </c:ser>
        <c:axId val="37720242"/>
        <c:axId val="3937859"/>
      </c:scatterChart>
      <c:valAx>
        <c:axId val="3772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Arial"/>
                    <a:ea typeface="Arial"/>
                    <a:cs typeface="Arial"/>
                  </a:rPr>
                  <a:t>Densidade Média Residencial (dom/ha)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937859"/>
        <c:crosses val="autoZero"/>
        <c:crossBetween val="midCat"/>
        <c:dispUnits/>
      </c:valAx>
      <c:valAx>
        <c:axId val="393785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7720242"/>
        <c:crosses val="autoZero"/>
        <c:crossBetween val="midCat"/>
        <c:dispUnits/>
        <c:majorUnit val="0.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385"/>
          <c:w val="0.91075"/>
          <c:h val="0.898"/>
        </c:manualLayout>
      </c:layout>
      <c:scatterChart>
        <c:scatterStyle val="lineMarker"/>
        <c:varyColors val="0"/>
        <c:ser>
          <c:idx val="0"/>
          <c:order val="0"/>
          <c:tx>
            <c:v>Bertioga - % impermeável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'Dados-Bertioga'!$E$3:$E$15</c:f>
              <c:numCache>
                <c:ptCount val="13"/>
                <c:pt idx="0">
                  <c:v>54.751127581797014</c:v>
                </c:pt>
                <c:pt idx="1">
                  <c:v>52.84214427788583</c:v>
                </c:pt>
                <c:pt idx="3">
                  <c:v>39.13386794366417</c:v>
                </c:pt>
                <c:pt idx="4">
                  <c:v>10.299072613282345</c:v>
                </c:pt>
                <c:pt idx="5">
                  <c:v>32.962957888218035</c:v>
                </c:pt>
                <c:pt idx="7">
                  <c:v>10.429594943936987</c:v>
                </c:pt>
                <c:pt idx="8">
                  <c:v>71.65372375323908</c:v>
                </c:pt>
                <c:pt idx="9">
                  <c:v>37.62523412426522</c:v>
                </c:pt>
                <c:pt idx="10">
                  <c:v>8.002317071577707</c:v>
                </c:pt>
                <c:pt idx="11">
                  <c:v>12.483764562717301</c:v>
                </c:pt>
                <c:pt idx="12">
                  <c:v>18.823081115658667</c:v>
                </c:pt>
              </c:numCache>
            </c:numRef>
          </c:xVal>
          <c:yVal>
            <c:numRef>
              <c:f>'Dados-Bertioga'!$F$3:$F$15</c:f>
              <c:numCache>
                <c:ptCount val="13"/>
                <c:pt idx="0">
                  <c:v>0.31312999999999996</c:v>
                </c:pt>
                <c:pt idx="1">
                  <c:v>0.26649999999999996</c:v>
                </c:pt>
                <c:pt idx="2">
                  <c:v>0.04223</c:v>
                </c:pt>
                <c:pt idx="3">
                  <c:v>0.26344</c:v>
                </c:pt>
                <c:pt idx="4">
                  <c:v>0.12678</c:v>
                </c:pt>
                <c:pt idx="5">
                  <c:v>0.20425000000000001</c:v>
                </c:pt>
                <c:pt idx="6">
                  <c:v>0</c:v>
                </c:pt>
                <c:pt idx="7">
                  <c:v>0.20772</c:v>
                </c:pt>
                <c:pt idx="8">
                  <c:v>0.37751</c:v>
                </c:pt>
                <c:pt idx="9">
                  <c:v>0.30246</c:v>
                </c:pt>
                <c:pt idx="10">
                  <c:v>0.14987999999999999</c:v>
                </c:pt>
                <c:pt idx="11">
                  <c:v>0.1435</c:v>
                </c:pt>
                <c:pt idx="12">
                  <c:v>0.1875</c:v>
                </c:pt>
              </c:numCache>
            </c:numRef>
          </c:yVal>
          <c:smooth val="0"/>
        </c:ser>
        <c:ser>
          <c:idx val="2"/>
          <c:order val="1"/>
          <c:tx>
            <c:v>Bertioga - % diretamente conectada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'Dados-Bertioga'!$E$3:$E$15</c:f>
              <c:numCache>
                <c:ptCount val="13"/>
                <c:pt idx="0">
                  <c:v>54.751127581797014</c:v>
                </c:pt>
                <c:pt idx="1">
                  <c:v>52.84214427788583</c:v>
                </c:pt>
                <c:pt idx="3">
                  <c:v>39.13386794366417</c:v>
                </c:pt>
                <c:pt idx="4">
                  <c:v>10.299072613282345</c:v>
                </c:pt>
                <c:pt idx="5">
                  <c:v>32.962957888218035</c:v>
                </c:pt>
                <c:pt idx="7">
                  <c:v>10.429594943936987</c:v>
                </c:pt>
                <c:pt idx="8">
                  <c:v>71.65372375323908</c:v>
                </c:pt>
                <c:pt idx="9">
                  <c:v>37.62523412426522</c:v>
                </c:pt>
                <c:pt idx="10">
                  <c:v>8.002317071577707</c:v>
                </c:pt>
                <c:pt idx="11">
                  <c:v>12.483764562717301</c:v>
                </c:pt>
                <c:pt idx="12">
                  <c:v>18.823081115658667</c:v>
                </c:pt>
              </c:numCache>
            </c:numRef>
          </c:xVal>
          <c:yVal>
            <c:numRef>
              <c:f>'Dados-Bertioga'!$G$3:$G$15</c:f>
              <c:numCache>
                <c:ptCount val="13"/>
                <c:pt idx="0">
                  <c:v>0.13283</c:v>
                </c:pt>
                <c:pt idx="1">
                  <c:v>0.07963</c:v>
                </c:pt>
                <c:pt idx="2">
                  <c:v>0.028140000000000002</c:v>
                </c:pt>
                <c:pt idx="3">
                  <c:v>0.12365999999999999</c:v>
                </c:pt>
                <c:pt idx="4">
                  <c:v>0.08094</c:v>
                </c:pt>
                <c:pt idx="5">
                  <c:v>0.07417</c:v>
                </c:pt>
                <c:pt idx="6">
                  <c:v>0</c:v>
                </c:pt>
                <c:pt idx="7">
                  <c:v>0.07647</c:v>
                </c:pt>
                <c:pt idx="8">
                  <c:v>0.10381</c:v>
                </c:pt>
                <c:pt idx="9">
                  <c:v>0.11696</c:v>
                </c:pt>
                <c:pt idx="10">
                  <c:v>0.10207000000000001</c:v>
                </c:pt>
                <c:pt idx="11">
                  <c:v>0.09000999999999999</c:v>
                </c:pt>
                <c:pt idx="12">
                  <c:v>0.0882</c:v>
                </c:pt>
              </c:numCache>
            </c:numRef>
          </c:yVal>
          <c:smooth val="0"/>
        </c:ser>
        <c:ser>
          <c:idx val="1"/>
          <c:order val="2"/>
          <c:tx>
            <c:v>Campana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'Dados-Campana'!$A$2:$A$19</c:f>
              <c:numCache>
                <c:ptCount val="18"/>
                <c:pt idx="0">
                  <c:v>14.18</c:v>
                </c:pt>
                <c:pt idx="1">
                  <c:v>24.33</c:v>
                </c:pt>
                <c:pt idx="2">
                  <c:v>32.52</c:v>
                </c:pt>
                <c:pt idx="3">
                  <c:v>43.24</c:v>
                </c:pt>
                <c:pt idx="4">
                  <c:v>51.42</c:v>
                </c:pt>
                <c:pt idx="5">
                  <c:v>62.71</c:v>
                </c:pt>
                <c:pt idx="6">
                  <c:v>69.76</c:v>
                </c:pt>
                <c:pt idx="7">
                  <c:v>79.36</c:v>
                </c:pt>
                <c:pt idx="8">
                  <c:v>87.82</c:v>
                </c:pt>
                <c:pt idx="9">
                  <c:v>95.44</c:v>
                </c:pt>
                <c:pt idx="10">
                  <c:v>101.37</c:v>
                </c:pt>
                <c:pt idx="11">
                  <c:v>109.83</c:v>
                </c:pt>
                <c:pt idx="12">
                  <c:v>118.86</c:v>
                </c:pt>
                <c:pt idx="13">
                  <c:v>129.3</c:v>
                </c:pt>
                <c:pt idx="14">
                  <c:v>143.41</c:v>
                </c:pt>
                <c:pt idx="15">
                  <c:v>158.08</c:v>
                </c:pt>
                <c:pt idx="16">
                  <c:v>179.24</c:v>
                </c:pt>
                <c:pt idx="17">
                  <c:v>196.17</c:v>
                </c:pt>
              </c:numCache>
            </c:numRef>
          </c:xVal>
          <c:yVal>
            <c:numRef>
              <c:f>'Dados-Campana'!$C$2:$C$19</c:f>
              <c:numCache>
                <c:ptCount val="18"/>
                <c:pt idx="0">
                  <c:v>0.0467</c:v>
                </c:pt>
                <c:pt idx="1">
                  <c:v>0.09880000000000001</c:v>
                </c:pt>
                <c:pt idx="2">
                  <c:v>0.1435</c:v>
                </c:pt>
                <c:pt idx="3">
                  <c:v>0.20190000000000002</c:v>
                </c:pt>
                <c:pt idx="4">
                  <c:v>0.24559999999999998</c:v>
                </c:pt>
                <c:pt idx="5">
                  <c:v>0.3071</c:v>
                </c:pt>
                <c:pt idx="6">
                  <c:v>0.3467</c:v>
                </c:pt>
                <c:pt idx="7">
                  <c:v>0.3935</c:v>
                </c:pt>
                <c:pt idx="8">
                  <c:v>0.4435</c:v>
                </c:pt>
                <c:pt idx="9">
                  <c:v>0.4842</c:v>
                </c:pt>
                <c:pt idx="10">
                  <c:v>0.5133</c:v>
                </c:pt>
                <c:pt idx="11">
                  <c:v>0.5488000000000001</c:v>
                </c:pt>
                <c:pt idx="12">
                  <c:v>0.5748</c:v>
                </c:pt>
                <c:pt idx="13">
                  <c:v>0.5915</c:v>
                </c:pt>
                <c:pt idx="14">
                  <c:v>0.6019</c:v>
                </c:pt>
                <c:pt idx="15">
                  <c:v>0.6113000000000001</c:v>
                </c:pt>
                <c:pt idx="16">
                  <c:v>0.6185</c:v>
                </c:pt>
                <c:pt idx="17">
                  <c:v>0.6258</c:v>
                </c:pt>
              </c:numCache>
            </c:numRef>
          </c:yVal>
          <c:smooth val="0"/>
        </c:ser>
        <c:ser>
          <c:idx val="3"/>
          <c:order val="3"/>
          <c:tx>
            <c:v>Bertioga - % impermeável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noFill/>
              </a:ln>
            </c:spPr>
          </c:marker>
          <c:xVal>
            <c:numRef>
              <c:f>'Dados-Bertioga'!$I$3:$I$7</c:f>
              <c:numCache>
                <c:ptCount val="5"/>
                <c:pt idx="0">
                  <c:v>4.308839933073062</c:v>
                </c:pt>
                <c:pt idx="1">
                  <c:v>21.544199665365312</c:v>
                </c:pt>
                <c:pt idx="2">
                  <c:v>43.088399330730624</c:v>
                </c:pt>
                <c:pt idx="3">
                  <c:v>64.63259899609594</c:v>
                </c:pt>
                <c:pt idx="4">
                  <c:v>86.17679866146125</c:v>
                </c:pt>
              </c:numCache>
            </c:numRef>
          </c:xVal>
          <c:yVal>
            <c:numRef>
              <c:f>'Dados-Bertioga'!$J$3:$J$7</c:f>
              <c:numCache>
                <c:ptCount val="5"/>
                <c:pt idx="0">
                  <c:v>0.09000000000000001</c:v>
                </c:pt>
                <c:pt idx="1">
                  <c:v>0.17</c:v>
                </c:pt>
                <c:pt idx="2">
                  <c:v>0.27</c:v>
                </c:pt>
                <c:pt idx="3">
                  <c:v>0.37</c:v>
                </c:pt>
                <c:pt idx="4">
                  <c:v>0.47</c:v>
                </c:pt>
              </c:numCache>
            </c:numRef>
          </c:yVal>
          <c:smooth val="1"/>
        </c:ser>
        <c:axId val="35440732"/>
        <c:axId val="50531133"/>
      </c:scatterChart>
      <c:valAx>
        <c:axId val="35440732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Arial"/>
                    <a:ea typeface="Arial"/>
                    <a:cs typeface="Arial"/>
                  </a:rPr>
                  <a:t>Densidade Média Populacional (hab/ha)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0531133"/>
        <c:crosses val="autoZero"/>
        <c:crossBetween val="midCat"/>
        <c:dispUnits/>
      </c:valAx>
      <c:valAx>
        <c:axId val="50531133"/>
        <c:scaling>
          <c:orientation val="minMax"/>
          <c:max val="0.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5440732"/>
        <c:crosses val="autoZero"/>
        <c:crossBetween val="midCat"/>
        <c:dispUnits/>
        <c:majorUnit val="0.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'Dados-Itanhaem'!$F$3:$F$8</c:f>
              <c:numCache>
                <c:ptCount val="6"/>
                <c:pt idx="0">
                  <c:v>21.353163646488316</c:v>
                </c:pt>
                <c:pt idx="1">
                  <c:v>11.638164571934405</c:v>
                </c:pt>
                <c:pt idx="2">
                  <c:v>4.362536297734666</c:v>
                </c:pt>
                <c:pt idx="3">
                  <c:v>1.658608400014828</c:v>
                </c:pt>
                <c:pt idx="4">
                  <c:v>0.35196401444157277</c:v>
                </c:pt>
                <c:pt idx="5">
                  <c:v>0</c:v>
                </c:pt>
              </c:numCache>
            </c:numRef>
          </c:xVal>
          <c:yVal>
            <c:numRef>
              <c:f>'Dados-Itanhaem'!$H$3:$H$8</c:f>
              <c:numCache>
                <c:ptCount val="6"/>
                <c:pt idx="0">
                  <c:v>0.6</c:v>
                </c:pt>
                <c:pt idx="1">
                  <c:v>0.45</c:v>
                </c:pt>
                <c:pt idx="2">
                  <c:v>0.3</c:v>
                </c:pt>
                <c:pt idx="3">
                  <c:v>0.17</c:v>
                </c:pt>
                <c:pt idx="4">
                  <c:v>0.04</c:v>
                </c:pt>
                <c:pt idx="5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'Dados-Bertioga'!$D$3:$D$15</c:f>
              <c:numCache>
                <c:ptCount val="13"/>
                <c:pt idx="0">
                  <c:v>12.706697958665766</c:v>
                </c:pt>
                <c:pt idx="1">
                  <c:v>12.263659151570952</c:v>
                </c:pt>
                <c:pt idx="3">
                  <c:v>9.082228291491422</c:v>
                </c:pt>
                <c:pt idx="4">
                  <c:v>2.390219356776396</c:v>
                </c:pt>
                <c:pt idx="5">
                  <c:v>7.650077143782148</c:v>
                </c:pt>
                <c:pt idx="7">
                  <c:v>2.4205111134166932</c:v>
                </c:pt>
                <c:pt idx="8">
                  <c:v>16.629469849471917</c:v>
                </c:pt>
                <c:pt idx="9">
                  <c:v>8.732103004214158</c:v>
                </c:pt>
                <c:pt idx="10">
                  <c:v>1.857185970208566</c:v>
                </c:pt>
                <c:pt idx="11">
                  <c:v>2.897244909678946</c:v>
                </c:pt>
                <c:pt idx="12">
                  <c:v>4.3684800104036485</c:v>
                </c:pt>
              </c:numCache>
            </c:numRef>
          </c:xVal>
          <c:yVal>
            <c:numRef>
              <c:f>'Dados-Bertioga'!$F$3:$F$15</c:f>
              <c:numCache>
                <c:ptCount val="13"/>
                <c:pt idx="0">
                  <c:v>0.31312999999999996</c:v>
                </c:pt>
                <c:pt idx="1">
                  <c:v>0.26649999999999996</c:v>
                </c:pt>
                <c:pt idx="2">
                  <c:v>0.04223</c:v>
                </c:pt>
                <c:pt idx="3">
                  <c:v>0.26344</c:v>
                </c:pt>
                <c:pt idx="4">
                  <c:v>0.12678</c:v>
                </c:pt>
                <c:pt idx="5">
                  <c:v>0.20425000000000001</c:v>
                </c:pt>
                <c:pt idx="6">
                  <c:v>0</c:v>
                </c:pt>
                <c:pt idx="7">
                  <c:v>0.20772</c:v>
                </c:pt>
                <c:pt idx="8">
                  <c:v>0.37751</c:v>
                </c:pt>
                <c:pt idx="9">
                  <c:v>0.30246</c:v>
                </c:pt>
                <c:pt idx="10">
                  <c:v>0.14987999999999999</c:v>
                </c:pt>
                <c:pt idx="11">
                  <c:v>0.1435</c:v>
                </c:pt>
                <c:pt idx="12">
                  <c:v>0.1875</c:v>
                </c:pt>
              </c:numCache>
            </c:numRef>
          </c:yVal>
          <c:smooth val="0"/>
        </c:ser>
        <c:ser>
          <c:idx val="3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'Dados-Itanhaem'!$L$3:$L$8</c:f>
              <c:numCache>
                <c:ptCount val="6"/>
              </c:numCache>
            </c:numRef>
          </c:xVal>
          <c:yVal>
            <c:numRef>
              <c:f>'Dados-Mongagua'!$D$15:$D$23</c:f>
              <c:numCache>
                <c:ptCount val="9"/>
                <c:pt idx="0">
                  <c:v>0.28828</c:v>
                </c:pt>
                <c:pt idx="1">
                  <c:v>0.31002</c:v>
                </c:pt>
                <c:pt idx="2">
                  <c:v>0.40676</c:v>
                </c:pt>
                <c:pt idx="3">
                  <c:v>0.37992</c:v>
                </c:pt>
                <c:pt idx="4">
                  <c:v>0.20607</c:v>
                </c:pt>
                <c:pt idx="5">
                  <c:v>0.2529626695863474</c:v>
                </c:pt>
                <c:pt idx="6">
                  <c:v>0.348135</c:v>
                </c:pt>
                <c:pt idx="7">
                  <c:v>0.33948</c:v>
                </c:pt>
                <c:pt idx="8">
                  <c:v>0.40716</c:v>
                </c:pt>
              </c:numCache>
            </c:numRef>
          </c:yVal>
          <c:smooth val="0"/>
        </c:ser>
        <c:ser>
          <c:idx val="4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'Dados-Campana'!$M$18:$M$57</c:f>
              <c:numCache>
                <c:ptCount val="40"/>
                <c:pt idx="0">
                  <c:v>2.0041237113402066</c:v>
                </c:pt>
                <c:pt idx="1">
                  <c:v>2.4226804123711343</c:v>
                </c:pt>
                <c:pt idx="2">
                  <c:v>5.534020618556702</c:v>
                </c:pt>
                <c:pt idx="3">
                  <c:v>4.457731958762887</c:v>
                </c:pt>
                <c:pt idx="4">
                  <c:v>7.150515463917526</c:v>
                </c:pt>
                <c:pt idx="5">
                  <c:v>5.894845360824743</c:v>
                </c:pt>
                <c:pt idx="6">
                  <c:v>7.329896907216495</c:v>
                </c:pt>
                <c:pt idx="7">
                  <c:v>8.348453608247423</c:v>
                </c:pt>
                <c:pt idx="8">
                  <c:v>8.94639175257732</c:v>
                </c:pt>
                <c:pt idx="9">
                  <c:v>7.748453608247423</c:v>
                </c:pt>
                <c:pt idx="10">
                  <c:v>12.536082474226804</c:v>
                </c:pt>
                <c:pt idx="11">
                  <c:v>9.065979381443299</c:v>
                </c:pt>
                <c:pt idx="12">
                  <c:v>11.041237113402062</c:v>
                </c:pt>
                <c:pt idx="13">
                  <c:v>13.193814432989692</c:v>
                </c:pt>
                <c:pt idx="14">
                  <c:v>12.536082474226804</c:v>
                </c:pt>
                <c:pt idx="15">
                  <c:v>12.595876288659795</c:v>
                </c:pt>
                <c:pt idx="16">
                  <c:v>15.169072164948453</c:v>
                </c:pt>
                <c:pt idx="17">
                  <c:v>15.049484536082474</c:v>
                </c:pt>
                <c:pt idx="18">
                  <c:v>19.17938144329897</c:v>
                </c:pt>
                <c:pt idx="19">
                  <c:v>16.6659793814433</c:v>
                </c:pt>
                <c:pt idx="20">
                  <c:v>19.47835051546392</c:v>
                </c:pt>
                <c:pt idx="21">
                  <c:v>19.298969072164947</c:v>
                </c:pt>
                <c:pt idx="22">
                  <c:v>20.255670103092783</c:v>
                </c:pt>
                <c:pt idx="23">
                  <c:v>17.981443298969072</c:v>
                </c:pt>
                <c:pt idx="24">
                  <c:v>17.503092783505156</c:v>
                </c:pt>
                <c:pt idx="25">
                  <c:v>19.95670103092784</c:v>
                </c:pt>
                <c:pt idx="26">
                  <c:v>23.727835051546393</c:v>
                </c:pt>
                <c:pt idx="27">
                  <c:v>22.230927835051546</c:v>
                </c:pt>
                <c:pt idx="28">
                  <c:v>23.008247422680416</c:v>
                </c:pt>
                <c:pt idx="29">
                  <c:v>24.2659793814433</c:v>
                </c:pt>
                <c:pt idx="30">
                  <c:v>24.804123711340207</c:v>
                </c:pt>
                <c:pt idx="31">
                  <c:v>25.402061855670105</c:v>
                </c:pt>
                <c:pt idx="32">
                  <c:v>26.061855670103096</c:v>
                </c:pt>
                <c:pt idx="33">
                  <c:v>28.336082474226806</c:v>
                </c:pt>
                <c:pt idx="34">
                  <c:v>29.232989690721652</c:v>
                </c:pt>
                <c:pt idx="35">
                  <c:v>32.404123711340205</c:v>
                </c:pt>
                <c:pt idx="36">
                  <c:v>33.36288659793815</c:v>
                </c:pt>
                <c:pt idx="37">
                  <c:v>34.43917525773196</c:v>
                </c:pt>
                <c:pt idx="38">
                  <c:v>36.713402061855675</c:v>
                </c:pt>
                <c:pt idx="39">
                  <c:v>40.542268041237115</c:v>
                </c:pt>
              </c:numCache>
            </c:numRef>
          </c:xVal>
          <c:yVal>
            <c:numRef>
              <c:f>'Dados-Campana'!$N$18:$N$57</c:f>
              <c:numCache>
                <c:ptCount val="40"/>
                <c:pt idx="0">
                  <c:v>0.15410000000000001</c:v>
                </c:pt>
                <c:pt idx="1">
                  <c:v>0.138</c:v>
                </c:pt>
                <c:pt idx="2">
                  <c:v>0.0797</c:v>
                </c:pt>
                <c:pt idx="3">
                  <c:v>0.0538</c:v>
                </c:pt>
                <c:pt idx="4">
                  <c:v>0.1056</c:v>
                </c:pt>
                <c:pt idx="5">
                  <c:v>0.1336</c:v>
                </c:pt>
                <c:pt idx="6">
                  <c:v>0.1736</c:v>
                </c:pt>
                <c:pt idx="7">
                  <c:v>0.1563</c:v>
                </c:pt>
                <c:pt idx="8">
                  <c:v>0.1649</c:v>
                </c:pt>
                <c:pt idx="9">
                  <c:v>0.2879</c:v>
                </c:pt>
                <c:pt idx="10">
                  <c:v>0.2329</c:v>
                </c:pt>
                <c:pt idx="11">
                  <c:v>0.2394</c:v>
                </c:pt>
                <c:pt idx="12">
                  <c:v>0.262</c:v>
                </c:pt>
                <c:pt idx="13">
                  <c:v>0.2502</c:v>
                </c:pt>
                <c:pt idx="14">
                  <c:v>0.2663</c:v>
                </c:pt>
                <c:pt idx="15">
                  <c:v>0.3225</c:v>
                </c:pt>
                <c:pt idx="16">
                  <c:v>0.3818</c:v>
                </c:pt>
                <c:pt idx="17">
                  <c:v>0.40979999999999994</c:v>
                </c:pt>
                <c:pt idx="18">
                  <c:v>0.35700000000000004</c:v>
                </c:pt>
                <c:pt idx="19">
                  <c:v>0.3624</c:v>
                </c:pt>
                <c:pt idx="20">
                  <c:v>0.39909999999999995</c:v>
                </c:pt>
                <c:pt idx="21">
                  <c:v>0.4347</c:v>
                </c:pt>
                <c:pt idx="22">
                  <c:v>0.46380000000000005</c:v>
                </c:pt>
                <c:pt idx="23">
                  <c:v>0.4681</c:v>
                </c:pt>
                <c:pt idx="24">
                  <c:v>0.4487</c:v>
                </c:pt>
                <c:pt idx="25">
                  <c:v>0.5091</c:v>
                </c:pt>
                <c:pt idx="26">
                  <c:v>0.5005</c:v>
                </c:pt>
                <c:pt idx="27">
                  <c:v>0.5803</c:v>
                </c:pt>
                <c:pt idx="28">
                  <c:v>0.5825</c:v>
                </c:pt>
                <c:pt idx="29">
                  <c:v>0.59</c:v>
                </c:pt>
                <c:pt idx="30">
                  <c:v>0.5954</c:v>
                </c:pt>
                <c:pt idx="31">
                  <c:v>0.6115999999999999</c:v>
                </c:pt>
                <c:pt idx="32">
                  <c:v>0.6224000000000001</c:v>
                </c:pt>
                <c:pt idx="33">
                  <c:v>0.6202000000000001</c:v>
                </c:pt>
                <c:pt idx="34">
                  <c:v>0.5857</c:v>
                </c:pt>
                <c:pt idx="35">
                  <c:v>0.6267</c:v>
                </c:pt>
                <c:pt idx="36">
                  <c:v>0.6278</c:v>
                </c:pt>
                <c:pt idx="37">
                  <c:v>0.5846</c:v>
                </c:pt>
                <c:pt idx="38">
                  <c:v>0.5997</c:v>
                </c:pt>
                <c:pt idx="39">
                  <c:v>0.6364</c:v>
                </c:pt>
              </c:numCache>
            </c:numRef>
          </c:yVal>
          <c:smooth val="0"/>
        </c:ser>
        <c:ser>
          <c:idx val="2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'Dados-Mongagua'!$O$15:$O$23</c:f>
              <c:numCache>
                <c:ptCount val="9"/>
                <c:pt idx="0">
                  <c:v>15.33105257397609</c:v>
                </c:pt>
                <c:pt idx="1">
                  <c:v>12.366747120225776</c:v>
                </c:pt>
                <c:pt idx="2">
                  <c:v>18.08284837412412</c:v>
                </c:pt>
                <c:pt idx="3">
                  <c:v>36.52307692307692</c:v>
                </c:pt>
                <c:pt idx="4">
                  <c:v>9.442058168275793</c:v>
                </c:pt>
                <c:pt idx="5">
                  <c:v>13.878516360312675</c:v>
                </c:pt>
                <c:pt idx="6">
                  <c:v>20.0531253150769</c:v>
                </c:pt>
                <c:pt idx="7">
                  <c:v>22.18850318020537</c:v>
                </c:pt>
                <c:pt idx="8">
                  <c:v>51.5921052631579</c:v>
                </c:pt>
              </c:numCache>
            </c:numRef>
          </c:xVal>
          <c:yVal>
            <c:numRef>
              <c:f>'Dados-Mongagua'!$P$15:$P$23</c:f>
              <c:numCache>
                <c:ptCount val="9"/>
                <c:pt idx="0">
                  <c:v>0.28828</c:v>
                </c:pt>
                <c:pt idx="1">
                  <c:v>0.31002</c:v>
                </c:pt>
                <c:pt idx="2">
                  <c:v>0.40676</c:v>
                </c:pt>
                <c:pt idx="3">
                  <c:v>0.583</c:v>
                </c:pt>
                <c:pt idx="4">
                  <c:v>0.20607</c:v>
                </c:pt>
                <c:pt idx="5">
                  <c:v>0.2529626695863474</c:v>
                </c:pt>
                <c:pt idx="6">
                  <c:v>0.49524999999999997</c:v>
                </c:pt>
                <c:pt idx="7">
                  <c:v>0.5521</c:v>
                </c:pt>
                <c:pt idx="8">
                  <c:v>0.5266</c:v>
                </c:pt>
              </c:numCache>
            </c:numRef>
          </c:yVal>
          <c:smooth val="0"/>
        </c:ser>
        <c:axId val="52127014"/>
        <c:axId val="66489943"/>
      </c:scatterChart>
      <c:valAx>
        <c:axId val="5212701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in"/>
        <c:tickLblPos val="nextTo"/>
        <c:crossAx val="66489943"/>
        <c:crosses val="autoZero"/>
        <c:crossBetween val="midCat"/>
        <c:dispUnits/>
      </c:valAx>
      <c:valAx>
        <c:axId val="66489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Densidade (hab/ha)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521270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17"/>
          <c:w val="0.9545"/>
          <c:h val="0.966"/>
        </c:manualLayout>
      </c:layout>
      <c:scatterChart>
        <c:scatterStyle val="smoothMarker"/>
        <c:varyColors val="0"/>
        <c:ser>
          <c:idx val="0"/>
          <c:order val="0"/>
          <c:tx>
            <c:v>Campana (1995)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'[3]Plan3'!$B$2:$B$19</c:f>
              <c:numCache>
                <c:ptCount val="18"/>
                <c:pt idx="0">
                  <c:v>3.151111111111111</c:v>
                </c:pt>
                <c:pt idx="1">
                  <c:v>5.406666666666666</c:v>
                </c:pt>
                <c:pt idx="2">
                  <c:v>7.2266666666666675</c:v>
                </c:pt>
                <c:pt idx="3">
                  <c:v>9.60888888888889</c:v>
                </c:pt>
                <c:pt idx="4">
                  <c:v>11.426666666666668</c:v>
                </c:pt>
                <c:pt idx="5">
                  <c:v>13.935555555555556</c:v>
                </c:pt>
                <c:pt idx="6">
                  <c:v>15.502222222222223</c:v>
                </c:pt>
                <c:pt idx="7">
                  <c:v>17.635555555555555</c:v>
                </c:pt>
                <c:pt idx="8">
                  <c:v>19.515555555555554</c:v>
                </c:pt>
                <c:pt idx="9">
                  <c:v>21.20888888888889</c:v>
                </c:pt>
                <c:pt idx="10">
                  <c:v>22.526666666666667</c:v>
                </c:pt>
                <c:pt idx="11">
                  <c:v>24.406666666666666</c:v>
                </c:pt>
                <c:pt idx="12">
                  <c:v>26.413333333333334</c:v>
                </c:pt>
                <c:pt idx="13">
                  <c:v>28.733333333333334</c:v>
                </c:pt>
                <c:pt idx="14">
                  <c:v>31.86888888888889</c:v>
                </c:pt>
                <c:pt idx="15">
                  <c:v>35.128888888888895</c:v>
                </c:pt>
                <c:pt idx="16">
                  <c:v>39.83111111111111</c:v>
                </c:pt>
                <c:pt idx="17">
                  <c:v>43.593333333333334</c:v>
                </c:pt>
              </c:numCache>
            </c:numRef>
          </c:xVal>
          <c:yVal>
            <c:numRef>
              <c:f>'[3]Plan3'!$C$2:$C$19</c:f>
              <c:numCache>
                <c:ptCount val="18"/>
                <c:pt idx="0">
                  <c:v>0.0467</c:v>
                </c:pt>
                <c:pt idx="1">
                  <c:v>0.09880000000000001</c:v>
                </c:pt>
                <c:pt idx="2">
                  <c:v>0.1435</c:v>
                </c:pt>
                <c:pt idx="3">
                  <c:v>0.20190000000000002</c:v>
                </c:pt>
                <c:pt idx="4">
                  <c:v>0.24559999999999998</c:v>
                </c:pt>
                <c:pt idx="5">
                  <c:v>0.3071</c:v>
                </c:pt>
                <c:pt idx="6">
                  <c:v>0.3467</c:v>
                </c:pt>
                <c:pt idx="7">
                  <c:v>0.3935</c:v>
                </c:pt>
                <c:pt idx="8">
                  <c:v>0.4435</c:v>
                </c:pt>
                <c:pt idx="9">
                  <c:v>0.4842</c:v>
                </c:pt>
                <c:pt idx="10">
                  <c:v>0.5133</c:v>
                </c:pt>
                <c:pt idx="11">
                  <c:v>0.5488000000000001</c:v>
                </c:pt>
                <c:pt idx="12">
                  <c:v>0.5748</c:v>
                </c:pt>
                <c:pt idx="13">
                  <c:v>0.5915</c:v>
                </c:pt>
                <c:pt idx="14">
                  <c:v>0.6019</c:v>
                </c:pt>
                <c:pt idx="15">
                  <c:v>0.6113000000000001</c:v>
                </c:pt>
                <c:pt idx="16">
                  <c:v>0.6185</c:v>
                </c:pt>
                <c:pt idx="17">
                  <c:v>0.6258</c:v>
                </c:pt>
              </c:numCache>
            </c:numRef>
          </c:yVal>
          <c:smooth val="1"/>
        </c:ser>
        <c:ser>
          <c:idx val="1"/>
          <c:order val="1"/>
          <c:tx>
            <c:v>% impermeável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'Dados-Mongagua'!$L$15:$L$23</c:f>
              <c:numCache>
                <c:ptCount val="9"/>
                <c:pt idx="0">
                  <c:v>15.33105257397609</c:v>
                </c:pt>
                <c:pt idx="1">
                  <c:v>12.366747120225776</c:v>
                </c:pt>
                <c:pt idx="2">
                  <c:v>18.08284837412412</c:v>
                </c:pt>
                <c:pt idx="3">
                  <c:v>36.52307692307692</c:v>
                </c:pt>
                <c:pt idx="4">
                  <c:v>9.442058168275793</c:v>
                </c:pt>
                <c:pt idx="5">
                  <c:v>13.878516360312675</c:v>
                </c:pt>
                <c:pt idx="6">
                  <c:v>20.0531253150769</c:v>
                </c:pt>
                <c:pt idx="7">
                  <c:v>22.18850318020537</c:v>
                </c:pt>
                <c:pt idx="8">
                  <c:v>51.5921052631579</c:v>
                </c:pt>
              </c:numCache>
            </c:numRef>
          </c:xVal>
          <c:yVal>
            <c:numRef>
              <c:f>'Dados-Mongagua'!$D$15:$D$23</c:f>
              <c:numCache>
                <c:ptCount val="9"/>
                <c:pt idx="0">
                  <c:v>0.28828</c:v>
                </c:pt>
                <c:pt idx="1">
                  <c:v>0.31002</c:v>
                </c:pt>
                <c:pt idx="2">
                  <c:v>0.40676</c:v>
                </c:pt>
                <c:pt idx="3">
                  <c:v>0.37992</c:v>
                </c:pt>
                <c:pt idx="4">
                  <c:v>0.20607</c:v>
                </c:pt>
                <c:pt idx="5">
                  <c:v>0.2529626695863474</c:v>
                </c:pt>
                <c:pt idx="6">
                  <c:v>0.348135</c:v>
                </c:pt>
                <c:pt idx="7">
                  <c:v>0.33948</c:v>
                </c:pt>
                <c:pt idx="8">
                  <c:v>0.40716</c:v>
                </c:pt>
              </c:numCache>
            </c:numRef>
          </c:yVal>
          <c:smooth val="1"/>
        </c:ser>
        <c:ser>
          <c:idx val="2"/>
          <c:order val="2"/>
          <c:tx>
            <c:v>% diretamente conectada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exp"/>
            <c:dispEq val="0"/>
            <c:dispRSqr val="0"/>
          </c:trendline>
          <c:xVal>
            <c:numRef>
              <c:f>'Dados-Mongagua'!$L$15:$L$23</c:f>
              <c:numCache>
                <c:ptCount val="9"/>
                <c:pt idx="0">
                  <c:v>15.33105257397609</c:v>
                </c:pt>
                <c:pt idx="1">
                  <c:v>12.366747120225776</c:v>
                </c:pt>
                <c:pt idx="2">
                  <c:v>18.08284837412412</c:v>
                </c:pt>
                <c:pt idx="3">
                  <c:v>36.52307692307692</c:v>
                </c:pt>
                <c:pt idx="4">
                  <c:v>9.442058168275793</c:v>
                </c:pt>
                <c:pt idx="5">
                  <c:v>13.878516360312675</c:v>
                </c:pt>
                <c:pt idx="6">
                  <c:v>20.0531253150769</c:v>
                </c:pt>
                <c:pt idx="7">
                  <c:v>22.18850318020537</c:v>
                </c:pt>
                <c:pt idx="8">
                  <c:v>51.5921052631579</c:v>
                </c:pt>
              </c:numCache>
            </c:numRef>
          </c:xVal>
          <c:yVal>
            <c:numRef>
              <c:f>'Dados-Mongagua'!$H$15:$H$23</c:f>
              <c:numCache>
                <c:ptCount val="9"/>
                <c:pt idx="0">
                  <c:v>0.11485</c:v>
                </c:pt>
                <c:pt idx="1">
                  <c:v>0.2236</c:v>
                </c:pt>
                <c:pt idx="2">
                  <c:v>0.22678999999999994</c:v>
                </c:pt>
                <c:pt idx="3">
                  <c:v>0.21511000000000002</c:v>
                </c:pt>
                <c:pt idx="4">
                  <c:v>0.26429</c:v>
                </c:pt>
                <c:pt idx="5">
                  <c:v>0.24826</c:v>
                </c:pt>
                <c:pt idx="6">
                  <c:v>0.23195500000000002</c:v>
                </c:pt>
                <c:pt idx="7">
                  <c:v>0.23279000000000002</c:v>
                </c:pt>
                <c:pt idx="8">
                  <c:v>0.23123000000000005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'Dados-Mongagua'!$F$26:$F$34</c:f>
              <c:numCache>
                <c:ptCount val="9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</c:numCache>
            </c:numRef>
          </c:xVal>
          <c:yVal>
            <c:numRef>
              <c:f>'Dados-Mongagua'!$G$26:$G$34</c:f>
              <c:numCache>
                <c:ptCount val="9"/>
                <c:pt idx="0">
                  <c:v>0.2246540260138414</c:v>
                </c:pt>
                <c:pt idx="1">
                  <c:v>0.31041752382745585</c:v>
                </c:pt>
                <c:pt idx="2">
                  <c:v>0.3531525078422488</c:v>
                </c:pt>
                <c:pt idx="3">
                  <c:v>0.37444686855866416</c:v>
                </c:pt>
                <c:pt idx="4">
                  <c:v>0.3850576084190991</c:v>
                </c:pt>
                <c:pt idx="5">
                  <c:v>0.39034482046012714</c:v>
                </c:pt>
                <c:pt idx="6">
                  <c:v>0.39297937860918014</c:v>
                </c:pt>
                <c:pt idx="7">
                  <c:v>0.3942921492313684</c:v>
                </c:pt>
                <c:pt idx="8">
                  <c:v>0.39494628803149323</c:v>
                </c:pt>
              </c:numCache>
            </c:numRef>
          </c:yVal>
          <c:smooth val="1"/>
        </c:ser>
        <c:axId val="61538576"/>
        <c:axId val="16976273"/>
      </c:scatterChart>
      <c:valAx>
        <c:axId val="615385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976273"/>
        <c:crosses val="autoZero"/>
        <c:crossBetween val="midCat"/>
        <c:dispUnits/>
      </c:valAx>
      <c:valAx>
        <c:axId val="1697627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5385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1175"/>
          <c:y val="0.79175"/>
          <c:w val="0.23575"/>
          <c:h val="0.117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385"/>
          <c:w val="0.91075"/>
          <c:h val="0.898"/>
        </c:manualLayout>
      </c:layout>
      <c:scatterChart>
        <c:scatterStyle val="lineMarker"/>
        <c:varyColors val="0"/>
        <c:ser>
          <c:idx val="0"/>
          <c:order val="0"/>
          <c:tx>
            <c:v>Mongagua - % impermeável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'Dados-Mongagua'!$M$15:$M$23</c:f>
              <c:numCache>
                <c:ptCount val="9"/>
                <c:pt idx="0">
                  <c:v>67.99039055861604</c:v>
                </c:pt>
                <c:pt idx="1">
                  <c:v>54.84424259760562</c:v>
                </c:pt>
                <c:pt idx="2">
                  <c:v>80.19409740045494</c:v>
                </c:pt>
                <c:pt idx="3">
                  <c:v>161.9731099622964</c:v>
                </c:pt>
                <c:pt idx="4">
                  <c:v>41.87378651534739</c:v>
                </c:pt>
                <c:pt idx="5">
                  <c:v>61.548660351836375</c:v>
                </c:pt>
                <c:pt idx="6">
                  <c:v>88.93191224243174</c:v>
                </c:pt>
                <c:pt idx="7">
                  <c:v>98.40191923247721</c:v>
                </c:pt>
                <c:pt idx="8">
                  <c:v>228.80147137044227</c:v>
                </c:pt>
              </c:numCache>
            </c:numRef>
          </c:xVal>
          <c:yVal>
            <c:numRef>
              <c:f>'Dados-Mongagua'!$D$15:$D$23</c:f>
              <c:numCache>
                <c:ptCount val="9"/>
                <c:pt idx="0">
                  <c:v>0.28828</c:v>
                </c:pt>
                <c:pt idx="1">
                  <c:v>0.31002</c:v>
                </c:pt>
                <c:pt idx="2">
                  <c:v>0.40676</c:v>
                </c:pt>
                <c:pt idx="3">
                  <c:v>0.37992</c:v>
                </c:pt>
                <c:pt idx="4">
                  <c:v>0.20607</c:v>
                </c:pt>
                <c:pt idx="5">
                  <c:v>0.2529626695863474</c:v>
                </c:pt>
                <c:pt idx="6">
                  <c:v>0.348135</c:v>
                </c:pt>
                <c:pt idx="7">
                  <c:v>0.33948</c:v>
                </c:pt>
                <c:pt idx="8">
                  <c:v>0.40716</c:v>
                </c:pt>
              </c:numCache>
            </c:numRef>
          </c:yVal>
          <c:smooth val="0"/>
        </c:ser>
        <c:ser>
          <c:idx val="2"/>
          <c:order val="1"/>
          <c:tx>
            <c:v>Mongagua - % diretamente conectada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'Dados-Mongagua'!$M$15:$M$23</c:f>
              <c:numCache>
                <c:ptCount val="9"/>
                <c:pt idx="0">
                  <c:v>67.99039055861604</c:v>
                </c:pt>
                <c:pt idx="1">
                  <c:v>54.84424259760562</c:v>
                </c:pt>
                <c:pt idx="2">
                  <c:v>80.19409740045494</c:v>
                </c:pt>
                <c:pt idx="3">
                  <c:v>161.9731099622964</c:v>
                </c:pt>
                <c:pt idx="4">
                  <c:v>41.87378651534739</c:v>
                </c:pt>
                <c:pt idx="5">
                  <c:v>61.548660351836375</c:v>
                </c:pt>
                <c:pt idx="6">
                  <c:v>88.93191224243174</c:v>
                </c:pt>
                <c:pt idx="7">
                  <c:v>98.40191923247721</c:v>
                </c:pt>
                <c:pt idx="8">
                  <c:v>228.80147137044227</c:v>
                </c:pt>
              </c:numCache>
            </c:numRef>
          </c:xVal>
          <c:yVal>
            <c:numRef>
              <c:f>'Dados-Mongagua'!$H$15:$H$23</c:f>
              <c:numCache>
                <c:ptCount val="9"/>
                <c:pt idx="0">
                  <c:v>0.11485</c:v>
                </c:pt>
                <c:pt idx="1">
                  <c:v>0.2236</c:v>
                </c:pt>
                <c:pt idx="2">
                  <c:v>0.22678999999999994</c:v>
                </c:pt>
                <c:pt idx="3">
                  <c:v>0.21511000000000002</c:v>
                </c:pt>
                <c:pt idx="4">
                  <c:v>0.26429</c:v>
                </c:pt>
                <c:pt idx="5">
                  <c:v>0.24826</c:v>
                </c:pt>
                <c:pt idx="6">
                  <c:v>0.23195500000000002</c:v>
                </c:pt>
                <c:pt idx="7">
                  <c:v>0.23279000000000002</c:v>
                </c:pt>
                <c:pt idx="8">
                  <c:v>0.23123000000000005</c:v>
                </c:pt>
              </c:numCache>
            </c:numRef>
          </c:yVal>
          <c:smooth val="0"/>
        </c:ser>
        <c:ser>
          <c:idx val="1"/>
          <c:order val="2"/>
          <c:tx>
            <c:v>Campana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'Dados-Campana'!$A$2:$A$19</c:f>
              <c:numCache>
                <c:ptCount val="18"/>
                <c:pt idx="0">
                  <c:v>14.18</c:v>
                </c:pt>
                <c:pt idx="1">
                  <c:v>24.33</c:v>
                </c:pt>
                <c:pt idx="2">
                  <c:v>32.52</c:v>
                </c:pt>
                <c:pt idx="3">
                  <c:v>43.24</c:v>
                </c:pt>
                <c:pt idx="4">
                  <c:v>51.42</c:v>
                </c:pt>
                <c:pt idx="5">
                  <c:v>62.71</c:v>
                </c:pt>
                <c:pt idx="6">
                  <c:v>69.76</c:v>
                </c:pt>
                <c:pt idx="7">
                  <c:v>79.36</c:v>
                </c:pt>
                <c:pt idx="8">
                  <c:v>87.82</c:v>
                </c:pt>
                <c:pt idx="9">
                  <c:v>95.44</c:v>
                </c:pt>
                <c:pt idx="10">
                  <c:v>101.37</c:v>
                </c:pt>
                <c:pt idx="11">
                  <c:v>109.83</c:v>
                </c:pt>
                <c:pt idx="12">
                  <c:v>118.86</c:v>
                </c:pt>
                <c:pt idx="13">
                  <c:v>129.3</c:v>
                </c:pt>
                <c:pt idx="14">
                  <c:v>143.41</c:v>
                </c:pt>
                <c:pt idx="15">
                  <c:v>158.08</c:v>
                </c:pt>
                <c:pt idx="16">
                  <c:v>179.24</c:v>
                </c:pt>
                <c:pt idx="17">
                  <c:v>196.17</c:v>
                </c:pt>
              </c:numCache>
            </c:numRef>
          </c:xVal>
          <c:yVal>
            <c:numRef>
              <c:f>'Dados-Campana'!$C$2:$C$19</c:f>
              <c:numCache>
                <c:ptCount val="18"/>
                <c:pt idx="0">
                  <c:v>0.0467</c:v>
                </c:pt>
                <c:pt idx="1">
                  <c:v>0.09880000000000001</c:v>
                </c:pt>
                <c:pt idx="2">
                  <c:v>0.1435</c:v>
                </c:pt>
                <c:pt idx="3">
                  <c:v>0.20190000000000002</c:v>
                </c:pt>
                <c:pt idx="4">
                  <c:v>0.24559999999999998</c:v>
                </c:pt>
                <c:pt idx="5">
                  <c:v>0.3071</c:v>
                </c:pt>
                <c:pt idx="6">
                  <c:v>0.3467</c:v>
                </c:pt>
                <c:pt idx="7">
                  <c:v>0.3935</c:v>
                </c:pt>
                <c:pt idx="8">
                  <c:v>0.4435</c:v>
                </c:pt>
                <c:pt idx="9">
                  <c:v>0.4842</c:v>
                </c:pt>
                <c:pt idx="10">
                  <c:v>0.5133</c:v>
                </c:pt>
                <c:pt idx="11">
                  <c:v>0.5488000000000001</c:v>
                </c:pt>
                <c:pt idx="12">
                  <c:v>0.5748</c:v>
                </c:pt>
                <c:pt idx="13">
                  <c:v>0.5915</c:v>
                </c:pt>
                <c:pt idx="14">
                  <c:v>0.6019</c:v>
                </c:pt>
                <c:pt idx="15">
                  <c:v>0.6113000000000001</c:v>
                </c:pt>
                <c:pt idx="16">
                  <c:v>0.6185</c:v>
                </c:pt>
                <c:pt idx="17">
                  <c:v>0.6258</c:v>
                </c:pt>
              </c:numCache>
            </c:numRef>
          </c:yVal>
          <c:smooth val="0"/>
        </c:ser>
        <c:ser>
          <c:idx val="3"/>
          <c:order val="3"/>
          <c:tx>
            <c:v>Mongagua - % impermeável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noFill/>
              </a:ln>
            </c:spPr>
          </c:marker>
          <c:xVal>
            <c:numRef>
              <c:f>'Dados-Mongagua'!$E$26:$E$34</c:f>
              <c:numCache>
                <c:ptCount val="9"/>
                <c:pt idx="0">
                  <c:v>44.348155634158665</c:v>
                </c:pt>
                <c:pt idx="1">
                  <c:v>66.522233451238</c:v>
                </c:pt>
                <c:pt idx="2">
                  <c:v>88.69631126831733</c:v>
                </c:pt>
                <c:pt idx="3">
                  <c:v>110.87038908539665</c:v>
                </c:pt>
                <c:pt idx="4">
                  <c:v>133.044466902476</c:v>
                </c:pt>
                <c:pt idx="5">
                  <c:v>155.21854471955533</c:v>
                </c:pt>
                <c:pt idx="6">
                  <c:v>177.39262253663466</c:v>
                </c:pt>
                <c:pt idx="7">
                  <c:v>199.566700353714</c:v>
                </c:pt>
                <c:pt idx="8">
                  <c:v>221.7407781707933</c:v>
                </c:pt>
              </c:numCache>
            </c:numRef>
          </c:xVal>
          <c:yVal>
            <c:numRef>
              <c:f>'Dados-Mongagua'!$G$26:$G$34</c:f>
              <c:numCache>
                <c:ptCount val="9"/>
                <c:pt idx="0">
                  <c:v>0.2246540260138414</c:v>
                </c:pt>
                <c:pt idx="1">
                  <c:v>0.31041752382745585</c:v>
                </c:pt>
                <c:pt idx="2">
                  <c:v>0.3531525078422488</c:v>
                </c:pt>
                <c:pt idx="3">
                  <c:v>0.37444686855866416</c:v>
                </c:pt>
                <c:pt idx="4">
                  <c:v>0.3850576084190991</c:v>
                </c:pt>
                <c:pt idx="5">
                  <c:v>0.39034482046012714</c:v>
                </c:pt>
                <c:pt idx="6">
                  <c:v>0.39297937860918014</c:v>
                </c:pt>
                <c:pt idx="7">
                  <c:v>0.3942921492313684</c:v>
                </c:pt>
                <c:pt idx="8">
                  <c:v>0.39494628803149323</c:v>
                </c:pt>
              </c:numCache>
            </c:numRef>
          </c:yVal>
          <c:smooth val="1"/>
        </c:ser>
        <c:axId val="18568730"/>
        <c:axId val="32900843"/>
      </c:scatterChart>
      <c:valAx>
        <c:axId val="18568730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Arial"/>
                    <a:ea typeface="Arial"/>
                    <a:cs typeface="Arial"/>
                  </a:rPr>
                  <a:t>Densidade Média Populacional (hab/ha)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2900843"/>
        <c:crosses val="autoZero"/>
        <c:crossBetween val="midCat"/>
        <c:dispUnits/>
      </c:valAx>
      <c:valAx>
        <c:axId val="32900843"/>
        <c:scaling>
          <c:orientation val="minMax"/>
          <c:max val="0.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8568730"/>
        <c:crosses val="autoZero"/>
        <c:crossBetween val="midCat"/>
        <c:dispUnits/>
        <c:majorUnit val="0.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675"/>
          <c:w val="0.94925"/>
          <c:h val="0.9305"/>
        </c:manualLayout>
      </c:layout>
      <c:scatterChart>
        <c:scatterStyle val="lineMarker"/>
        <c:varyColors val="0"/>
        <c:ser>
          <c:idx val="0"/>
          <c:order val="0"/>
          <c:tx>
            <c:v>Itanhaém - % impermeavel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'Dados-Itanhaem'!$B$18:$B$36</c:f>
              <c:numCache>
                <c:ptCount val="19"/>
                <c:pt idx="0">
                  <c:v>0.136211377819784</c:v>
                </c:pt>
                <c:pt idx="1">
                  <c:v>2.72422755639568</c:v>
                </c:pt>
                <c:pt idx="2">
                  <c:v>5.44845511279136</c:v>
                </c:pt>
                <c:pt idx="3">
                  <c:v>8.17268266918704</c:v>
                </c:pt>
                <c:pt idx="4">
                  <c:v>10.89691022558272</c:v>
                </c:pt>
                <c:pt idx="5">
                  <c:v>13.621137781978401</c:v>
                </c:pt>
                <c:pt idx="6">
                  <c:v>16.34536533837408</c:v>
                </c:pt>
                <c:pt idx="7">
                  <c:v>19.069592894769762</c:v>
                </c:pt>
                <c:pt idx="8">
                  <c:v>21.79382045116544</c:v>
                </c:pt>
                <c:pt idx="9">
                  <c:v>24.51804800756112</c:v>
                </c:pt>
                <c:pt idx="10">
                  <c:v>27.242275563956802</c:v>
                </c:pt>
                <c:pt idx="11">
                  <c:v>29.96650312035248</c:v>
                </c:pt>
                <c:pt idx="12">
                  <c:v>32.69073067674816</c:v>
                </c:pt>
                <c:pt idx="13">
                  <c:v>35.41495823314384</c:v>
                </c:pt>
                <c:pt idx="14">
                  <c:v>38.139185789539525</c:v>
                </c:pt>
                <c:pt idx="15">
                  <c:v>40.8634133459352</c:v>
                </c:pt>
                <c:pt idx="16">
                  <c:v>43.58764090233088</c:v>
                </c:pt>
                <c:pt idx="17">
                  <c:v>46.311868458726565</c:v>
                </c:pt>
                <c:pt idx="18">
                  <c:v>49.03609601512224</c:v>
                </c:pt>
              </c:numCache>
            </c:numRef>
          </c:xVal>
          <c:yVal>
            <c:numRef>
              <c:f>'Dados-Itanhaem'!$C$18:$C$36</c:f>
              <c:numCache>
                <c:ptCount val="19"/>
                <c:pt idx="0">
                  <c:v>0.0726539486197771</c:v>
                </c:pt>
                <c:pt idx="1">
                  <c:v>0.1913235929064602</c:v>
                </c:pt>
                <c:pt idx="2">
                  <c:v>0.3003200710990641</c:v>
                </c:pt>
                <c:pt idx="3">
                  <c:v>0.39298943457781177</c:v>
                </c:pt>
                <c:pt idx="4">
                  <c:v>0.4693316833427032</c:v>
                </c:pt>
                <c:pt idx="5">
                  <c:v>0.5293468173937381</c:v>
                </c:pt>
                <c:pt idx="6">
                  <c:v>0.573034836730917</c:v>
                </c:pt>
                <c:pt idx="7">
                  <c:v>0.6</c:v>
                </c:pt>
                <c:pt idx="8">
                  <c:v>0.6019398323709599</c:v>
                </c:pt>
                <c:pt idx="9">
                  <c:v>0.6019398323709599</c:v>
                </c:pt>
                <c:pt idx="10">
                  <c:v>0.6019398323709599</c:v>
                </c:pt>
                <c:pt idx="11">
                  <c:v>0.6019398323709599</c:v>
                </c:pt>
                <c:pt idx="12">
                  <c:v>0.6019398323709599</c:v>
                </c:pt>
                <c:pt idx="13">
                  <c:v>0.6019398323709599</c:v>
                </c:pt>
                <c:pt idx="14">
                  <c:v>0.6019398323709599</c:v>
                </c:pt>
                <c:pt idx="15">
                  <c:v>0.6019398323709599</c:v>
                </c:pt>
                <c:pt idx="16">
                  <c:v>0.6019398323709599</c:v>
                </c:pt>
                <c:pt idx="17">
                  <c:v>0.6019398323709599</c:v>
                </c:pt>
                <c:pt idx="18">
                  <c:v>0.6019398323709599</c:v>
                </c:pt>
              </c:numCache>
            </c:numRef>
          </c:yVal>
          <c:smooth val="1"/>
        </c:ser>
        <c:ser>
          <c:idx val="2"/>
          <c:order val="1"/>
          <c:tx>
            <c:v>Bertioga - % impermeavel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xVal>
            <c:numRef>
              <c:f>'Dados-Bertioga'!$D$3:$D$15</c:f>
              <c:numCache>
                <c:ptCount val="13"/>
                <c:pt idx="0">
                  <c:v>12.706697958665766</c:v>
                </c:pt>
                <c:pt idx="1">
                  <c:v>12.263659151570952</c:v>
                </c:pt>
                <c:pt idx="3">
                  <c:v>9.082228291491422</c:v>
                </c:pt>
                <c:pt idx="4">
                  <c:v>2.390219356776396</c:v>
                </c:pt>
                <c:pt idx="5">
                  <c:v>7.650077143782148</c:v>
                </c:pt>
                <c:pt idx="7">
                  <c:v>2.4205111134166932</c:v>
                </c:pt>
                <c:pt idx="8">
                  <c:v>16.629469849471917</c:v>
                </c:pt>
                <c:pt idx="9">
                  <c:v>8.732103004214158</c:v>
                </c:pt>
                <c:pt idx="10">
                  <c:v>1.857185970208566</c:v>
                </c:pt>
                <c:pt idx="11">
                  <c:v>2.897244909678946</c:v>
                </c:pt>
                <c:pt idx="12">
                  <c:v>4.3684800104036485</c:v>
                </c:pt>
              </c:numCache>
            </c:numRef>
          </c:xVal>
          <c:yVal>
            <c:numRef>
              <c:f>'Dados-Bertioga'!$F$3:$F$15</c:f>
              <c:numCache>
                <c:ptCount val="13"/>
                <c:pt idx="0">
                  <c:v>0.31312999999999996</c:v>
                </c:pt>
                <c:pt idx="1">
                  <c:v>0.26649999999999996</c:v>
                </c:pt>
                <c:pt idx="2">
                  <c:v>0.04223</c:v>
                </c:pt>
                <c:pt idx="3">
                  <c:v>0.26344</c:v>
                </c:pt>
                <c:pt idx="4">
                  <c:v>0.12678</c:v>
                </c:pt>
                <c:pt idx="5">
                  <c:v>0.20425000000000001</c:v>
                </c:pt>
                <c:pt idx="6">
                  <c:v>0</c:v>
                </c:pt>
                <c:pt idx="7">
                  <c:v>0.20772</c:v>
                </c:pt>
                <c:pt idx="8">
                  <c:v>0.37751</c:v>
                </c:pt>
                <c:pt idx="9">
                  <c:v>0.30246</c:v>
                </c:pt>
                <c:pt idx="10">
                  <c:v>0.14987999999999999</c:v>
                </c:pt>
                <c:pt idx="11">
                  <c:v>0.1435</c:v>
                </c:pt>
                <c:pt idx="12">
                  <c:v>0.1875</c:v>
                </c:pt>
              </c:numCache>
            </c:numRef>
          </c:yVal>
          <c:smooth val="0"/>
        </c:ser>
        <c:ser>
          <c:idx val="3"/>
          <c:order val="2"/>
          <c:tx>
            <c:v>Bertioga - % diretamente conectada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noFill/>
              <a:ln>
                <a:noFill/>
              </a:ln>
            </c:spPr>
          </c:marker>
          <c:xVal>
            <c:numRef>
              <c:f>'Dados-Bertioga'!$D$3:$D$15</c:f>
              <c:numCache>
                <c:ptCount val="13"/>
                <c:pt idx="0">
                  <c:v>12.706697958665766</c:v>
                </c:pt>
                <c:pt idx="1">
                  <c:v>12.263659151570952</c:v>
                </c:pt>
                <c:pt idx="3">
                  <c:v>9.082228291491422</c:v>
                </c:pt>
                <c:pt idx="4">
                  <c:v>2.390219356776396</c:v>
                </c:pt>
                <c:pt idx="5">
                  <c:v>7.650077143782148</c:v>
                </c:pt>
                <c:pt idx="7">
                  <c:v>2.4205111134166932</c:v>
                </c:pt>
                <c:pt idx="8">
                  <c:v>16.629469849471917</c:v>
                </c:pt>
                <c:pt idx="9">
                  <c:v>8.732103004214158</c:v>
                </c:pt>
                <c:pt idx="10">
                  <c:v>1.857185970208566</c:v>
                </c:pt>
                <c:pt idx="11">
                  <c:v>2.897244909678946</c:v>
                </c:pt>
                <c:pt idx="12">
                  <c:v>4.3684800104036485</c:v>
                </c:pt>
              </c:numCache>
            </c:numRef>
          </c:xVal>
          <c:yVal>
            <c:numRef>
              <c:f>'Dados-Bertioga'!$G$3:$G$15</c:f>
              <c:numCache>
                <c:ptCount val="13"/>
                <c:pt idx="0">
                  <c:v>0.13283</c:v>
                </c:pt>
                <c:pt idx="1">
                  <c:v>0.07963</c:v>
                </c:pt>
                <c:pt idx="2">
                  <c:v>0.028140000000000002</c:v>
                </c:pt>
                <c:pt idx="3">
                  <c:v>0.12365999999999999</c:v>
                </c:pt>
                <c:pt idx="4">
                  <c:v>0.08094</c:v>
                </c:pt>
                <c:pt idx="5">
                  <c:v>0.07417</c:v>
                </c:pt>
                <c:pt idx="6">
                  <c:v>0</c:v>
                </c:pt>
                <c:pt idx="7">
                  <c:v>0.07647</c:v>
                </c:pt>
                <c:pt idx="8">
                  <c:v>0.10381</c:v>
                </c:pt>
                <c:pt idx="9">
                  <c:v>0.11696</c:v>
                </c:pt>
                <c:pt idx="10">
                  <c:v>0.10207000000000001</c:v>
                </c:pt>
                <c:pt idx="11">
                  <c:v>0.09000999999999999</c:v>
                </c:pt>
                <c:pt idx="12">
                  <c:v>0.0882</c:v>
                </c:pt>
              </c:numCache>
            </c:numRef>
          </c:yVal>
          <c:smooth val="0"/>
        </c:ser>
        <c:ser>
          <c:idx val="4"/>
          <c:order val="3"/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'Dados-Bertioga'!$H$3:$H$7</c:f>
              <c:numCache>
                <c:ptCount val="5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xVal>
          <c:yVal>
            <c:numRef>
              <c:f>'Dados-Bertioga'!$J$3:$J$7</c:f>
              <c:numCache>
                <c:ptCount val="5"/>
                <c:pt idx="0">
                  <c:v>0.09000000000000001</c:v>
                </c:pt>
                <c:pt idx="1">
                  <c:v>0.17</c:v>
                </c:pt>
                <c:pt idx="2">
                  <c:v>0.27</c:v>
                </c:pt>
                <c:pt idx="3">
                  <c:v>0.37</c:v>
                </c:pt>
                <c:pt idx="4">
                  <c:v>0.47</c:v>
                </c:pt>
              </c:numCache>
            </c:numRef>
          </c:yVal>
          <c:smooth val="0"/>
        </c:ser>
        <c:ser>
          <c:idx val="5"/>
          <c:order val="4"/>
          <c:tx>
            <c:v>Mongaguá - % impermeavel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'Dados-Mongagua'!$L$15:$L$23</c:f>
              <c:numCache>
                <c:ptCount val="9"/>
                <c:pt idx="0">
                  <c:v>15.33105257397609</c:v>
                </c:pt>
                <c:pt idx="1">
                  <c:v>12.366747120225776</c:v>
                </c:pt>
                <c:pt idx="2">
                  <c:v>18.08284837412412</c:v>
                </c:pt>
                <c:pt idx="3">
                  <c:v>36.52307692307692</c:v>
                </c:pt>
                <c:pt idx="4">
                  <c:v>9.442058168275793</c:v>
                </c:pt>
                <c:pt idx="5">
                  <c:v>13.878516360312675</c:v>
                </c:pt>
                <c:pt idx="6">
                  <c:v>20.0531253150769</c:v>
                </c:pt>
                <c:pt idx="7">
                  <c:v>22.18850318020537</c:v>
                </c:pt>
                <c:pt idx="8">
                  <c:v>51.5921052631579</c:v>
                </c:pt>
              </c:numCache>
            </c:numRef>
          </c:xVal>
          <c:yVal>
            <c:numRef>
              <c:f>'Dados-Mongagua'!$D$15:$D$23</c:f>
              <c:numCache>
                <c:ptCount val="9"/>
                <c:pt idx="0">
                  <c:v>0.28828</c:v>
                </c:pt>
                <c:pt idx="1">
                  <c:v>0.31002</c:v>
                </c:pt>
                <c:pt idx="2">
                  <c:v>0.40676</c:v>
                </c:pt>
                <c:pt idx="3">
                  <c:v>0.37992</c:v>
                </c:pt>
                <c:pt idx="4">
                  <c:v>0.20607</c:v>
                </c:pt>
                <c:pt idx="5">
                  <c:v>0.2529626695863474</c:v>
                </c:pt>
                <c:pt idx="6">
                  <c:v>0.348135</c:v>
                </c:pt>
                <c:pt idx="7">
                  <c:v>0.33948</c:v>
                </c:pt>
                <c:pt idx="8">
                  <c:v>0.40716</c:v>
                </c:pt>
              </c:numCache>
            </c:numRef>
          </c:yVal>
          <c:smooth val="0"/>
        </c:ser>
        <c:ser>
          <c:idx val="6"/>
          <c:order val="5"/>
          <c:tx>
            <c:v>Mongaguá - % diretamente conectada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'Dados-Mongagua'!$L$15:$L$23</c:f>
              <c:numCache>
                <c:ptCount val="9"/>
                <c:pt idx="0">
                  <c:v>15.33105257397609</c:v>
                </c:pt>
                <c:pt idx="1">
                  <c:v>12.366747120225776</c:v>
                </c:pt>
                <c:pt idx="2">
                  <c:v>18.08284837412412</c:v>
                </c:pt>
                <c:pt idx="3">
                  <c:v>36.52307692307692</c:v>
                </c:pt>
                <c:pt idx="4">
                  <c:v>9.442058168275793</c:v>
                </c:pt>
                <c:pt idx="5">
                  <c:v>13.878516360312675</c:v>
                </c:pt>
                <c:pt idx="6">
                  <c:v>20.0531253150769</c:v>
                </c:pt>
                <c:pt idx="7">
                  <c:v>22.18850318020537</c:v>
                </c:pt>
                <c:pt idx="8">
                  <c:v>51.5921052631579</c:v>
                </c:pt>
              </c:numCache>
            </c:numRef>
          </c:xVal>
          <c:yVal>
            <c:numRef>
              <c:f>'Dados-Mongagua'!$H$15:$H$23</c:f>
              <c:numCache>
                <c:ptCount val="9"/>
                <c:pt idx="0">
                  <c:v>0.11485</c:v>
                </c:pt>
                <c:pt idx="1">
                  <c:v>0.2236</c:v>
                </c:pt>
                <c:pt idx="2">
                  <c:v>0.22678999999999994</c:v>
                </c:pt>
                <c:pt idx="3">
                  <c:v>0.21511000000000002</c:v>
                </c:pt>
                <c:pt idx="4">
                  <c:v>0.26429</c:v>
                </c:pt>
                <c:pt idx="5">
                  <c:v>0.24826</c:v>
                </c:pt>
                <c:pt idx="6">
                  <c:v>0.23195500000000002</c:v>
                </c:pt>
                <c:pt idx="7">
                  <c:v>0.23279000000000002</c:v>
                </c:pt>
                <c:pt idx="8">
                  <c:v>0.23123000000000005</c:v>
                </c:pt>
              </c:numCache>
            </c:numRef>
          </c:yVal>
          <c:smooth val="0"/>
        </c:ser>
        <c:ser>
          <c:idx val="7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'Dados-Mongagua'!$F$26:$F$34</c:f>
              <c:numCache>
                <c:ptCount val="9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</c:numCache>
            </c:numRef>
          </c:xVal>
          <c:yVal>
            <c:numRef>
              <c:f>'Dados-Mongagua'!$G$26:$G$34</c:f>
              <c:numCache>
                <c:ptCount val="9"/>
                <c:pt idx="0">
                  <c:v>0.2246540260138414</c:v>
                </c:pt>
                <c:pt idx="1">
                  <c:v>0.31041752382745585</c:v>
                </c:pt>
                <c:pt idx="2">
                  <c:v>0.3531525078422488</c:v>
                </c:pt>
                <c:pt idx="3">
                  <c:v>0.37444686855866416</c:v>
                </c:pt>
                <c:pt idx="4">
                  <c:v>0.3850576084190991</c:v>
                </c:pt>
                <c:pt idx="5">
                  <c:v>0.39034482046012714</c:v>
                </c:pt>
                <c:pt idx="6">
                  <c:v>0.39297937860918014</c:v>
                </c:pt>
                <c:pt idx="7">
                  <c:v>0.3942921492313684</c:v>
                </c:pt>
                <c:pt idx="8">
                  <c:v>0.39494628803149323</c:v>
                </c:pt>
              </c:numCache>
            </c:numRef>
          </c:yVal>
          <c:smooth val="1"/>
        </c:ser>
        <c:axId val="27672132"/>
        <c:axId val="47722597"/>
      </c:scatterChart>
      <c:valAx>
        <c:axId val="2767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Arial"/>
                    <a:ea typeface="Arial"/>
                    <a:cs typeface="Arial"/>
                  </a:rPr>
                  <a:t>Densidade Média Residencial (dom/ha)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7722597"/>
        <c:crosses val="autoZero"/>
        <c:crossBetween val="midCat"/>
        <c:dispUnits/>
      </c:valAx>
      <c:valAx>
        <c:axId val="477225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767213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0.1675</cdr:x>
      <cdr:y>0.067</cdr:y>
    </cdr:from>
    <cdr:to>
      <cdr:x>0.424</cdr:x>
      <cdr:y>0.11975</cdr:y>
    </cdr:to>
    <cdr:sp>
      <cdr:nvSpPr>
        <cdr:cNvPr id="1" name="TextBox 1"/>
        <cdr:cNvSpPr txBox="1">
          <a:spLocks noChangeArrowheads="1"/>
        </cdr:cNvSpPr>
      </cdr:nvSpPr>
      <cdr:spPr>
        <a:xfrm>
          <a:off x="1552575" y="381000"/>
          <a:ext cx="2390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00" b="0" i="0" u="none" baseline="0">
              <a:latin typeface="Arial"/>
              <a:ea typeface="Arial"/>
              <a:cs typeface="Arial"/>
            </a:rPr>
            <a:t>Porcentagem Impermeável</a:t>
          </a:r>
        </a:p>
      </cdr:txBody>
    </cdr:sp>
  </cdr:relSizeAnchor>
  <cdr:relSizeAnchor xmlns:cdr="http://schemas.openxmlformats.org/drawingml/2006/chartDrawing">
    <cdr:from>
      <cdr:x>0.1675</cdr:x>
      <cdr:y>0.12025</cdr:y>
    </cdr:from>
    <cdr:to>
      <cdr:x>0.526</cdr:x>
      <cdr:y>0.173</cdr:y>
    </cdr:to>
    <cdr:sp>
      <cdr:nvSpPr>
        <cdr:cNvPr id="2" name="TextBox 2"/>
        <cdr:cNvSpPr txBox="1">
          <a:spLocks noChangeArrowheads="1"/>
        </cdr:cNvSpPr>
      </cdr:nvSpPr>
      <cdr:spPr>
        <a:xfrm>
          <a:off x="1552575" y="685800"/>
          <a:ext cx="3333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00" b="0" i="0" u="none" baseline="0">
              <a:latin typeface="Arial"/>
              <a:ea typeface="Arial"/>
              <a:cs typeface="Arial"/>
            </a:rPr>
            <a:t>Porcentagem Diretamente Conectada</a:t>
          </a:r>
        </a:p>
      </cdr:txBody>
    </cdr:sp>
  </cdr:relSizeAnchor>
  <cdr:relSizeAnchor xmlns:cdr="http://schemas.openxmlformats.org/drawingml/2006/chartDrawing">
    <cdr:from>
      <cdr:x>0.15125</cdr:x>
      <cdr:y>0.13425</cdr:y>
    </cdr:from>
    <cdr:to>
      <cdr:x>0.1605</cdr:x>
      <cdr:y>0.15</cdr:y>
    </cdr:to>
    <cdr:sp>
      <cdr:nvSpPr>
        <cdr:cNvPr id="3" name="AutoShape 3"/>
        <cdr:cNvSpPr>
          <a:spLocks/>
        </cdr:cNvSpPr>
      </cdr:nvSpPr>
      <cdr:spPr>
        <a:xfrm>
          <a:off x="1400175" y="762000"/>
          <a:ext cx="85725" cy="85725"/>
        </a:xfrm>
        <a:prstGeom prst="flowChartProcess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0.08125</cdr:y>
    </cdr:from>
    <cdr:to>
      <cdr:x>0.1605</cdr:x>
      <cdr:y>0.09875</cdr:y>
    </cdr:to>
    <cdr:sp>
      <cdr:nvSpPr>
        <cdr:cNvPr id="4" name="AutoShape 4"/>
        <cdr:cNvSpPr>
          <a:spLocks/>
        </cdr:cNvSpPr>
      </cdr:nvSpPr>
      <cdr:spPr>
        <a:xfrm>
          <a:off x="1400175" y="457200"/>
          <a:ext cx="85725" cy="104775"/>
        </a:xfrm>
        <a:prstGeom prst="flowChartProcess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0.5215</cdr:x>
      <cdr:y>0.651</cdr:y>
    </cdr:from>
    <cdr:to>
      <cdr:x>0.91475</cdr:x>
      <cdr:y>0.811</cdr:y>
    </cdr:to>
    <cdr:sp>
      <cdr:nvSpPr>
        <cdr:cNvPr id="1" name="Rectangle 1"/>
        <cdr:cNvSpPr>
          <a:spLocks/>
        </cdr:cNvSpPr>
      </cdr:nvSpPr>
      <cdr:spPr>
        <a:xfrm>
          <a:off x="4848225" y="3714750"/>
          <a:ext cx="3657600" cy="914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0.55575</cdr:x>
      <cdr:y>0.651</cdr:y>
    </cdr:from>
    <cdr:to>
      <cdr:x>0.81225</cdr:x>
      <cdr:y>0.70375</cdr:y>
    </cdr:to>
    <cdr:sp>
      <cdr:nvSpPr>
        <cdr:cNvPr id="2" name="TextBox 2"/>
        <cdr:cNvSpPr txBox="1">
          <a:spLocks noChangeArrowheads="1"/>
        </cdr:cNvSpPr>
      </cdr:nvSpPr>
      <cdr:spPr>
        <a:xfrm>
          <a:off x="5162550" y="3714750"/>
          <a:ext cx="2390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00" b="0" i="0" u="none" baseline="0">
              <a:latin typeface="Arial"/>
              <a:ea typeface="Arial"/>
              <a:cs typeface="Arial"/>
            </a:rPr>
            <a:t>Porcentagem Impermeável</a:t>
          </a:r>
        </a:p>
      </cdr:txBody>
    </cdr:sp>
  </cdr:relSizeAnchor>
  <cdr:relSizeAnchor xmlns:cdr="http://schemas.openxmlformats.org/drawingml/2006/chartDrawing">
    <cdr:from>
      <cdr:x>0.55575</cdr:x>
      <cdr:y>0.706</cdr:y>
    </cdr:from>
    <cdr:to>
      <cdr:x>0.91425</cdr:x>
      <cdr:y>0.75875</cdr:y>
    </cdr:to>
    <cdr:sp>
      <cdr:nvSpPr>
        <cdr:cNvPr id="3" name="TextBox 3"/>
        <cdr:cNvSpPr txBox="1">
          <a:spLocks noChangeArrowheads="1"/>
        </cdr:cNvSpPr>
      </cdr:nvSpPr>
      <cdr:spPr>
        <a:xfrm>
          <a:off x="5162550" y="4029075"/>
          <a:ext cx="3333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00" b="0" i="0" u="none" baseline="0">
              <a:latin typeface="Arial"/>
              <a:ea typeface="Arial"/>
              <a:cs typeface="Arial"/>
            </a:rPr>
            <a:t>Porcentagem Diretamente Conectada</a:t>
          </a:r>
        </a:p>
      </cdr:txBody>
    </cdr:sp>
  </cdr:relSizeAnchor>
  <cdr:relSizeAnchor xmlns:cdr="http://schemas.openxmlformats.org/drawingml/2006/chartDrawing">
    <cdr:from>
      <cdr:x>0.539</cdr:x>
      <cdr:y>0.7225</cdr:y>
    </cdr:from>
    <cdr:to>
      <cdr:x>0.55</cdr:x>
      <cdr:y>0.7385</cdr:y>
    </cdr:to>
    <cdr:sp>
      <cdr:nvSpPr>
        <cdr:cNvPr id="4" name="AutoShape 4"/>
        <cdr:cNvSpPr>
          <a:spLocks/>
        </cdr:cNvSpPr>
      </cdr:nvSpPr>
      <cdr:spPr>
        <a:xfrm>
          <a:off x="5010150" y="4124325"/>
          <a:ext cx="104775" cy="95250"/>
        </a:xfrm>
        <a:prstGeom prst="flowChartProcess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0.539</cdr:x>
      <cdr:y>0.66775</cdr:y>
    </cdr:from>
    <cdr:to>
      <cdr:x>0.55</cdr:x>
      <cdr:y>0.68675</cdr:y>
    </cdr:to>
    <cdr:sp>
      <cdr:nvSpPr>
        <cdr:cNvPr id="5" name="AutoShape 5"/>
        <cdr:cNvSpPr>
          <a:spLocks/>
        </cdr:cNvSpPr>
      </cdr:nvSpPr>
      <cdr:spPr>
        <a:xfrm>
          <a:off x="5010150" y="3810000"/>
          <a:ext cx="104775" cy="104775"/>
        </a:xfrm>
        <a:prstGeom prst="flowChartProcess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0.55575</cdr:x>
      <cdr:y>0.7585</cdr:y>
    </cdr:from>
    <cdr:to>
      <cdr:x>0.91425</cdr:x>
      <cdr:y>0.8135</cdr:y>
    </cdr:to>
    <cdr:sp>
      <cdr:nvSpPr>
        <cdr:cNvPr id="6" name="TextBox 6"/>
        <cdr:cNvSpPr txBox="1">
          <a:spLocks noChangeArrowheads="1"/>
        </cdr:cNvSpPr>
      </cdr:nvSpPr>
      <cdr:spPr>
        <a:xfrm>
          <a:off x="5162550" y="4333875"/>
          <a:ext cx="3333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0" b="0" i="0" u="none" baseline="0">
              <a:latin typeface="Arial"/>
              <a:ea typeface="Arial"/>
              <a:cs typeface="Arial"/>
            </a:rPr>
            <a:t>Campana (1995)</a:t>
          </a:r>
        </a:p>
      </cdr:txBody>
    </cdr:sp>
  </cdr:relSizeAnchor>
  <cdr:relSizeAnchor xmlns:cdr="http://schemas.openxmlformats.org/drawingml/2006/chartDrawing">
    <cdr:from>
      <cdr:x>0.539</cdr:x>
      <cdr:y>0.77275</cdr:y>
    </cdr:from>
    <cdr:to>
      <cdr:x>0.55</cdr:x>
      <cdr:y>0.78875</cdr:y>
    </cdr:to>
    <cdr:sp>
      <cdr:nvSpPr>
        <cdr:cNvPr id="7" name="AutoShape 7"/>
        <cdr:cNvSpPr>
          <a:spLocks/>
        </cdr:cNvSpPr>
      </cdr:nvSpPr>
      <cdr:spPr>
        <a:xfrm>
          <a:off x="5010150" y="4410075"/>
          <a:ext cx="104775" cy="95250"/>
        </a:xfrm>
        <a:prstGeom prst="flowChartProcess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</cdr:x>
      <cdr:y>0.27475</cdr:y>
    </cdr:from>
    <cdr:to>
      <cdr:x>0.9015</cdr:x>
      <cdr:y>0.435</cdr:y>
    </cdr:to>
    <cdr:sp>
      <cdr:nvSpPr>
        <cdr:cNvPr id="1" name="Rectangle 7"/>
        <cdr:cNvSpPr>
          <a:spLocks/>
        </cdr:cNvSpPr>
      </cdr:nvSpPr>
      <cdr:spPr>
        <a:xfrm>
          <a:off x="4733925" y="1562100"/>
          <a:ext cx="3648075" cy="914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0.5425</cdr:x>
      <cdr:y>0.27475</cdr:y>
    </cdr:from>
    <cdr:to>
      <cdr:x>0.799</cdr:x>
      <cdr:y>0.3275</cdr:y>
    </cdr:to>
    <cdr:sp>
      <cdr:nvSpPr>
        <cdr:cNvPr id="2" name="TextBox 8"/>
        <cdr:cNvSpPr txBox="1">
          <a:spLocks noChangeArrowheads="1"/>
        </cdr:cNvSpPr>
      </cdr:nvSpPr>
      <cdr:spPr>
        <a:xfrm>
          <a:off x="5048250" y="1562100"/>
          <a:ext cx="2390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00" b="0" i="0" u="none" baseline="0">
              <a:latin typeface="Arial"/>
              <a:ea typeface="Arial"/>
              <a:cs typeface="Arial"/>
            </a:rPr>
            <a:t>Porcentagem Impermeável</a:t>
          </a:r>
        </a:p>
      </cdr:txBody>
    </cdr:sp>
  </cdr:relSizeAnchor>
  <cdr:relSizeAnchor xmlns:cdr="http://schemas.openxmlformats.org/drawingml/2006/chartDrawing">
    <cdr:from>
      <cdr:x>0.5425</cdr:x>
      <cdr:y>0.3305</cdr:y>
    </cdr:from>
    <cdr:to>
      <cdr:x>0.901</cdr:x>
      <cdr:y>0.38325</cdr:y>
    </cdr:to>
    <cdr:sp>
      <cdr:nvSpPr>
        <cdr:cNvPr id="3" name="TextBox 9"/>
        <cdr:cNvSpPr txBox="1">
          <a:spLocks noChangeArrowheads="1"/>
        </cdr:cNvSpPr>
      </cdr:nvSpPr>
      <cdr:spPr>
        <a:xfrm>
          <a:off x="5048250" y="1885950"/>
          <a:ext cx="3333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00" b="0" i="0" u="none" baseline="0">
              <a:latin typeface="Arial"/>
              <a:ea typeface="Arial"/>
              <a:cs typeface="Arial"/>
            </a:rPr>
            <a:t>Porcentagem Diretamente Conectada</a:t>
          </a:r>
        </a:p>
      </cdr:txBody>
    </cdr:sp>
  </cdr:relSizeAnchor>
  <cdr:relSizeAnchor xmlns:cdr="http://schemas.openxmlformats.org/drawingml/2006/chartDrawing">
    <cdr:from>
      <cdr:x>0.5265</cdr:x>
      <cdr:y>0.34725</cdr:y>
    </cdr:from>
    <cdr:to>
      <cdr:x>0.53575</cdr:x>
      <cdr:y>0.3625</cdr:y>
    </cdr:to>
    <cdr:sp>
      <cdr:nvSpPr>
        <cdr:cNvPr id="4" name="AutoShape 10"/>
        <cdr:cNvSpPr>
          <a:spLocks/>
        </cdr:cNvSpPr>
      </cdr:nvSpPr>
      <cdr:spPr>
        <a:xfrm>
          <a:off x="4895850" y="1981200"/>
          <a:ext cx="85725" cy="85725"/>
        </a:xfrm>
        <a:prstGeom prst="flowChartProcess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0.5265</cdr:x>
      <cdr:y>0.2915</cdr:y>
    </cdr:from>
    <cdr:to>
      <cdr:x>0.53575</cdr:x>
      <cdr:y>0.31075</cdr:y>
    </cdr:to>
    <cdr:sp>
      <cdr:nvSpPr>
        <cdr:cNvPr id="5" name="AutoShape 11"/>
        <cdr:cNvSpPr>
          <a:spLocks/>
        </cdr:cNvSpPr>
      </cdr:nvSpPr>
      <cdr:spPr>
        <a:xfrm>
          <a:off x="4895850" y="1657350"/>
          <a:ext cx="85725" cy="114300"/>
        </a:xfrm>
        <a:prstGeom prst="flowChartProcess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0.5425</cdr:x>
      <cdr:y>0.3825</cdr:y>
    </cdr:from>
    <cdr:to>
      <cdr:x>0.901</cdr:x>
      <cdr:y>0.43525</cdr:y>
    </cdr:to>
    <cdr:sp>
      <cdr:nvSpPr>
        <cdr:cNvPr id="6" name="TextBox 12"/>
        <cdr:cNvSpPr txBox="1">
          <a:spLocks noChangeArrowheads="1"/>
        </cdr:cNvSpPr>
      </cdr:nvSpPr>
      <cdr:spPr>
        <a:xfrm>
          <a:off x="5048250" y="2181225"/>
          <a:ext cx="3333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0" b="0" i="0" u="none" baseline="0">
              <a:latin typeface="Arial"/>
              <a:ea typeface="Arial"/>
              <a:cs typeface="Arial"/>
            </a:rPr>
            <a:t>Campana (1995)</a:t>
          </a:r>
        </a:p>
      </cdr:txBody>
    </cdr:sp>
  </cdr:relSizeAnchor>
  <cdr:relSizeAnchor xmlns:cdr="http://schemas.openxmlformats.org/drawingml/2006/chartDrawing">
    <cdr:from>
      <cdr:x>0.5265</cdr:x>
      <cdr:y>0.3975</cdr:y>
    </cdr:from>
    <cdr:to>
      <cdr:x>0.53575</cdr:x>
      <cdr:y>0.41275</cdr:y>
    </cdr:to>
    <cdr:sp>
      <cdr:nvSpPr>
        <cdr:cNvPr id="7" name="AutoShape 13"/>
        <cdr:cNvSpPr>
          <a:spLocks/>
        </cdr:cNvSpPr>
      </cdr:nvSpPr>
      <cdr:spPr>
        <a:xfrm>
          <a:off x="4895850" y="2266950"/>
          <a:ext cx="85725" cy="85725"/>
        </a:xfrm>
        <a:prstGeom prst="flowChartProcess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</cdr:x>
      <cdr:y>0.0895</cdr:y>
    </cdr:from>
    <cdr:to>
      <cdr:x>0.4055</cdr:x>
      <cdr:y>0.14025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123950" y="523875"/>
          <a:ext cx="2390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00" b="0" i="0" u="none" baseline="0">
              <a:latin typeface="Arial"/>
              <a:ea typeface="Arial"/>
              <a:cs typeface="Arial"/>
            </a:rPr>
            <a:t>Porcentagem Impermeável</a:t>
          </a:r>
        </a:p>
      </cdr:txBody>
    </cdr:sp>
  </cdr:relSizeAnchor>
  <cdr:relSizeAnchor xmlns:cdr="http://schemas.openxmlformats.org/drawingml/2006/chartDrawing">
    <cdr:from>
      <cdr:x>0.13</cdr:x>
      <cdr:y>0.14275</cdr:y>
    </cdr:from>
    <cdr:to>
      <cdr:x>0.515</cdr:x>
      <cdr:y>0.1935</cdr:y>
    </cdr:to>
    <cdr:sp>
      <cdr:nvSpPr>
        <cdr:cNvPr id="2" name="TextBox 2"/>
        <cdr:cNvSpPr txBox="1">
          <a:spLocks noChangeArrowheads="1"/>
        </cdr:cNvSpPr>
      </cdr:nvSpPr>
      <cdr:spPr>
        <a:xfrm>
          <a:off x="1123950" y="838200"/>
          <a:ext cx="3343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00" b="0" i="0" u="none" baseline="0">
              <a:latin typeface="Arial"/>
              <a:ea typeface="Arial"/>
              <a:cs typeface="Arial"/>
            </a:rPr>
            <a:t>Porcentagem Diretamente Conectada</a:t>
          </a:r>
        </a:p>
      </cdr:txBody>
    </cdr:sp>
  </cdr:relSizeAnchor>
  <cdr:relSizeAnchor xmlns:cdr="http://schemas.openxmlformats.org/drawingml/2006/chartDrawing">
    <cdr:from>
      <cdr:x>0.11275</cdr:x>
      <cdr:y>0.15425</cdr:y>
    </cdr:from>
    <cdr:to>
      <cdr:x>0.123</cdr:x>
      <cdr:y>0.16925</cdr:y>
    </cdr:to>
    <cdr:sp>
      <cdr:nvSpPr>
        <cdr:cNvPr id="3" name="AutoShape 3"/>
        <cdr:cNvSpPr>
          <a:spLocks/>
        </cdr:cNvSpPr>
      </cdr:nvSpPr>
      <cdr:spPr>
        <a:xfrm>
          <a:off x="971550" y="914400"/>
          <a:ext cx="85725" cy="85725"/>
        </a:xfrm>
        <a:prstGeom prst="flowChartProcess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0.11275</cdr:x>
      <cdr:y>0.10375</cdr:y>
    </cdr:from>
    <cdr:to>
      <cdr:x>0.123</cdr:x>
      <cdr:y>0.12025</cdr:y>
    </cdr:to>
    <cdr:sp>
      <cdr:nvSpPr>
        <cdr:cNvPr id="4" name="AutoShape 4"/>
        <cdr:cNvSpPr>
          <a:spLocks/>
        </cdr:cNvSpPr>
      </cdr:nvSpPr>
      <cdr:spPr>
        <a:xfrm>
          <a:off x="971550" y="609600"/>
          <a:ext cx="85725" cy="95250"/>
        </a:xfrm>
        <a:prstGeom prst="flowChartProcess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</cdr:x>
      <cdr:y>0.34175</cdr:y>
    </cdr:from>
    <cdr:to>
      <cdr:x>0.89725</cdr:x>
      <cdr:y>0.502</cdr:y>
    </cdr:to>
    <cdr:sp>
      <cdr:nvSpPr>
        <cdr:cNvPr id="1" name="Rectangle 1"/>
        <cdr:cNvSpPr>
          <a:spLocks/>
        </cdr:cNvSpPr>
      </cdr:nvSpPr>
      <cdr:spPr>
        <a:xfrm>
          <a:off x="4686300" y="1952625"/>
          <a:ext cx="3657600" cy="914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0.53825</cdr:x>
      <cdr:y>0.34175</cdr:y>
    </cdr:from>
    <cdr:to>
      <cdr:x>0.79475</cdr:x>
      <cdr:y>0.3945</cdr:y>
    </cdr:to>
    <cdr:sp>
      <cdr:nvSpPr>
        <cdr:cNvPr id="2" name="TextBox 2"/>
        <cdr:cNvSpPr txBox="1">
          <a:spLocks noChangeArrowheads="1"/>
        </cdr:cNvSpPr>
      </cdr:nvSpPr>
      <cdr:spPr>
        <a:xfrm>
          <a:off x="5000625" y="1952625"/>
          <a:ext cx="2390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00" b="0" i="0" u="none" baseline="0">
              <a:latin typeface="Arial"/>
              <a:ea typeface="Arial"/>
              <a:cs typeface="Arial"/>
            </a:rPr>
            <a:t>Porcentagem Impermeável</a:t>
          </a:r>
        </a:p>
      </cdr:txBody>
    </cdr:sp>
  </cdr:relSizeAnchor>
  <cdr:relSizeAnchor xmlns:cdr="http://schemas.openxmlformats.org/drawingml/2006/chartDrawing">
    <cdr:from>
      <cdr:x>0.53825</cdr:x>
      <cdr:y>0.3975</cdr:y>
    </cdr:from>
    <cdr:to>
      <cdr:x>0.89675</cdr:x>
      <cdr:y>0.45025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266950"/>
          <a:ext cx="3333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00" b="0" i="0" u="none" baseline="0">
              <a:latin typeface="Arial"/>
              <a:ea typeface="Arial"/>
              <a:cs typeface="Arial"/>
            </a:rPr>
            <a:t>Porcentagem Diretamente Conectada</a:t>
          </a:r>
        </a:p>
      </cdr:txBody>
    </cdr:sp>
  </cdr:relSizeAnchor>
  <cdr:relSizeAnchor xmlns:cdr="http://schemas.openxmlformats.org/drawingml/2006/chartDrawing">
    <cdr:from>
      <cdr:x>0.5215</cdr:x>
      <cdr:y>0.41425</cdr:y>
    </cdr:from>
    <cdr:to>
      <cdr:x>0.53225</cdr:x>
      <cdr:y>0.43025</cdr:y>
    </cdr:to>
    <cdr:sp>
      <cdr:nvSpPr>
        <cdr:cNvPr id="4" name="AutoShape 4"/>
        <cdr:cNvSpPr>
          <a:spLocks/>
        </cdr:cNvSpPr>
      </cdr:nvSpPr>
      <cdr:spPr>
        <a:xfrm>
          <a:off x="4848225" y="2362200"/>
          <a:ext cx="104775" cy="95250"/>
        </a:xfrm>
        <a:prstGeom prst="flowChartProcess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0.5215</cdr:x>
      <cdr:y>0.3585</cdr:y>
    </cdr:from>
    <cdr:to>
      <cdr:x>0.53225</cdr:x>
      <cdr:y>0.3775</cdr:y>
    </cdr:to>
    <cdr:sp>
      <cdr:nvSpPr>
        <cdr:cNvPr id="5" name="AutoShape 5"/>
        <cdr:cNvSpPr>
          <a:spLocks/>
        </cdr:cNvSpPr>
      </cdr:nvSpPr>
      <cdr:spPr>
        <a:xfrm>
          <a:off x="4848225" y="2047875"/>
          <a:ext cx="104775" cy="104775"/>
        </a:xfrm>
        <a:prstGeom prst="flowChartProcess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0.53825</cdr:x>
      <cdr:y>0.45025</cdr:y>
    </cdr:from>
    <cdr:to>
      <cdr:x>0.89675</cdr:x>
      <cdr:y>0.50525</cdr:y>
    </cdr:to>
    <cdr:sp>
      <cdr:nvSpPr>
        <cdr:cNvPr id="6" name="TextBox 6"/>
        <cdr:cNvSpPr txBox="1">
          <a:spLocks noChangeArrowheads="1"/>
        </cdr:cNvSpPr>
      </cdr:nvSpPr>
      <cdr:spPr>
        <a:xfrm>
          <a:off x="5000625" y="2571750"/>
          <a:ext cx="3333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0" b="0" i="0" u="none" baseline="0">
              <a:latin typeface="Arial"/>
              <a:ea typeface="Arial"/>
              <a:cs typeface="Arial"/>
            </a:rPr>
            <a:t>Campana (1995)</a:t>
          </a:r>
        </a:p>
      </cdr:txBody>
    </cdr:sp>
  </cdr:relSizeAnchor>
  <cdr:relSizeAnchor xmlns:cdr="http://schemas.openxmlformats.org/drawingml/2006/chartDrawing">
    <cdr:from>
      <cdr:x>0.5215</cdr:x>
      <cdr:y>0.46375</cdr:y>
    </cdr:from>
    <cdr:to>
      <cdr:x>0.53225</cdr:x>
      <cdr:y>0.4795</cdr:y>
    </cdr:to>
    <cdr:sp>
      <cdr:nvSpPr>
        <cdr:cNvPr id="7" name="AutoShape 7"/>
        <cdr:cNvSpPr>
          <a:spLocks/>
        </cdr:cNvSpPr>
      </cdr:nvSpPr>
      <cdr:spPr>
        <a:xfrm>
          <a:off x="4848225" y="2647950"/>
          <a:ext cx="104775" cy="85725"/>
        </a:xfrm>
        <a:prstGeom prst="flowChartProcess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0.0815</cdr:y>
    </cdr:from>
    <cdr:to>
      <cdr:x>0.63425</cdr:x>
      <cdr:y>0.91</cdr:y>
    </cdr:to>
    <cdr:sp>
      <cdr:nvSpPr>
        <cdr:cNvPr id="1" name="Line 1"/>
        <cdr:cNvSpPr>
          <a:spLocks/>
        </cdr:cNvSpPr>
      </cdr:nvSpPr>
      <cdr:spPr>
        <a:xfrm flipV="1">
          <a:off x="1257300" y="457200"/>
          <a:ext cx="4648200" cy="473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0.077</cdr:x>
      <cdr:y>0.0325</cdr:y>
    </cdr:from>
    <cdr:to>
      <cdr:x>0.456</cdr:x>
      <cdr:y>0.688</cdr:y>
    </cdr:to>
    <cdr:sp>
      <cdr:nvSpPr>
        <cdr:cNvPr id="2" name="Line 2"/>
        <cdr:cNvSpPr>
          <a:spLocks/>
        </cdr:cNvSpPr>
      </cdr:nvSpPr>
      <cdr:spPr>
        <a:xfrm flipV="1">
          <a:off x="714375" y="180975"/>
          <a:ext cx="3524250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0.39625</cdr:x>
      <cdr:y>0.1695</cdr:y>
    </cdr:from>
    <cdr:to>
      <cdr:x>1</cdr:x>
      <cdr:y>0.42775</cdr:y>
    </cdr:to>
    <cdr:sp>
      <cdr:nvSpPr>
        <cdr:cNvPr id="3" name="Line 3"/>
        <cdr:cNvSpPr>
          <a:spLocks/>
        </cdr:cNvSpPr>
      </cdr:nvSpPr>
      <cdr:spPr>
        <a:xfrm flipV="1">
          <a:off x="3686175" y="962025"/>
          <a:ext cx="561975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0.3625</cdr:x>
      <cdr:y>0.0325</cdr:y>
    </cdr:from>
    <cdr:to>
      <cdr:x>0.7865</cdr:x>
      <cdr:y>0.2235</cdr:y>
    </cdr:to>
    <cdr:sp>
      <cdr:nvSpPr>
        <cdr:cNvPr id="4" name="Line 4"/>
        <cdr:cNvSpPr>
          <a:spLocks/>
        </cdr:cNvSpPr>
      </cdr:nvSpPr>
      <cdr:spPr>
        <a:xfrm flipV="1">
          <a:off x="3371850" y="180975"/>
          <a:ext cx="39433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Proj\Itanhaem\Dados\areas%20homogeneas\dados%20pdaab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Proj\Mongagua\dados\populacao\pdaab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Proj\Mongagua\dados\prefeitura\GeoMap\Dgn\TerraMap\Areas_homogeneas\Impermeav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 - dom totais"/>
      <sheetName val="domicilios 1980 e 1991 PDAABS"/>
      <sheetName val="estimativas PDAABS"/>
      <sheetName val="domicilios totais"/>
      <sheetName val="domicilios permanentes"/>
      <sheetName val="curva densidade por porc imp"/>
      <sheetName val="areas homogeneas"/>
      <sheetName val="estimativas"/>
      <sheetName val="condicoes de saturacao"/>
      <sheetName val="Chart - consumo de água"/>
      <sheetName val="consumo de água"/>
    </sheetNames>
    <sheetDataSet>
      <sheetData sheetId="3">
        <row r="3">
          <cell r="C3">
            <v>527.36</v>
          </cell>
          <cell r="L3">
            <v>2522</v>
          </cell>
        </row>
        <row r="4">
          <cell r="C4">
            <v>715.55</v>
          </cell>
          <cell r="L4">
            <v>2841</v>
          </cell>
        </row>
        <row r="5">
          <cell r="C5">
            <v>134.48</v>
          </cell>
          <cell r="L5">
            <v>2457</v>
          </cell>
        </row>
        <row r="6">
          <cell r="C6">
            <v>481.04</v>
          </cell>
          <cell r="L6">
            <v>6020</v>
          </cell>
        </row>
        <row r="7">
          <cell r="C7">
            <v>161.03</v>
          </cell>
          <cell r="L7">
            <v>3364</v>
          </cell>
        </row>
        <row r="8">
          <cell r="C8">
            <v>89.24</v>
          </cell>
          <cell r="L8">
            <v>1938</v>
          </cell>
        </row>
        <row r="9">
          <cell r="C9">
            <v>1264.62</v>
          </cell>
          <cell r="L9">
            <v>2120</v>
          </cell>
        </row>
        <row r="10">
          <cell r="C10">
            <v>623.71</v>
          </cell>
          <cell r="L10">
            <v>1012</v>
          </cell>
        </row>
        <row r="11">
          <cell r="C11">
            <v>806.78</v>
          </cell>
          <cell r="L11">
            <v>2076</v>
          </cell>
        </row>
        <row r="12">
          <cell r="C12">
            <v>294.27</v>
          </cell>
          <cell r="L12">
            <v>3206</v>
          </cell>
        </row>
        <row r="13">
          <cell r="B13">
            <v>4400.02</v>
          </cell>
          <cell r="C13">
            <v>3158.5</v>
          </cell>
          <cell r="L13">
            <v>689</v>
          </cell>
        </row>
        <row r="14">
          <cell r="B14">
            <v>4003.81</v>
          </cell>
          <cell r="C14">
            <v>2612.5</v>
          </cell>
          <cell r="L14">
            <v>1966</v>
          </cell>
        </row>
        <row r="15">
          <cell r="B15">
            <v>1832.05</v>
          </cell>
          <cell r="C15">
            <v>1832.05</v>
          </cell>
          <cell r="L15">
            <v>21</v>
          </cell>
        </row>
        <row r="16">
          <cell r="C16">
            <v>180.72</v>
          </cell>
          <cell r="L16">
            <v>3901</v>
          </cell>
        </row>
        <row r="17">
          <cell r="C17">
            <v>513.29</v>
          </cell>
          <cell r="L17">
            <v>1823</v>
          </cell>
        </row>
        <row r="18">
          <cell r="C18">
            <v>77.56</v>
          </cell>
          <cell r="L18">
            <v>369</v>
          </cell>
        </row>
        <row r="19">
          <cell r="C19">
            <v>339.41</v>
          </cell>
          <cell r="L19">
            <v>3574</v>
          </cell>
        </row>
        <row r="20">
          <cell r="C20">
            <v>398.36</v>
          </cell>
          <cell r="L20">
            <v>1533</v>
          </cell>
        </row>
        <row r="21">
          <cell r="C21">
            <v>290.12</v>
          </cell>
          <cell r="L21">
            <v>2843</v>
          </cell>
        </row>
        <row r="22">
          <cell r="C22">
            <v>110.52</v>
          </cell>
          <cell r="L22">
            <v>725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manentes e ocasionais"/>
      <sheetName val="Plan2"/>
      <sheetName val="evolucao"/>
    </sheetNames>
    <sheetDataSet>
      <sheetData sheetId="2">
        <row r="6">
          <cell r="I6">
            <v>2563.2</v>
          </cell>
        </row>
        <row r="7">
          <cell r="I7">
            <v>4579</v>
          </cell>
        </row>
        <row r="8">
          <cell r="I8">
            <v>5715</v>
          </cell>
        </row>
        <row r="9">
          <cell r="I9">
            <v>949.6</v>
          </cell>
        </row>
        <row r="10">
          <cell r="I10">
            <v>456.6</v>
          </cell>
        </row>
        <row r="11">
          <cell r="I11">
            <v>604.8</v>
          </cell>
        </row>
        <row r="12">
          <cell r="I12">
            <v>2295.6</v>
          </cell>
        </row>
        <row r="13">
          <cell r="I13">
            <v>2515.2</v>
          </cell>
        </row>
        <row r="14">
          <cell r="I14">
            <v>3921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Chart1"/>
      <sheetName val="Plan3"/>
    </sheetNames>
    <sheetDataSet>
      <sheetData sheetId="2">
        <row r="2">
          <cell r="B2">
            <v>3.151111111111111</v>
          </cell>
          <cell r="C2">
            <v>0.0467</v>
          </cell>
        </row>
        <row r="3">
          <cell r="B3">
            <v>5.406666666666666</v>
          </cell>
          <cell r="C3">
            <v>0.09880000000000001</v>
          </cell>
        </row>
        <row r="4">
          <cell r="B4">
            <v>7.2266666666666675</v>
          </cell>
          <cell r="C4">
            <v>0.1435</v>
          </cell>
        </row>
        <row r="5">
          <cell r="B5">
            <v>9.60888888888889</v>
          </cell>
          <cell r="C5">
            <v>0.20190000000000002</v>
          </cell>
        </row>
        <row r="6">
          <cell r="B6">
            <v>11.426666666666668</v>
          </cell>
          <cell r="C6">
            <v>0.24559999999999998</v>
          </cell>
        </row>
        <row r="7">
          <cell r="B7">
            <v>13.935555555555556</v>
          </cell>
          <cell r="C7">
            <v>0.3071</v>
          </cell>
        </row>
        <row r="8">
          <cell r="B8">
            <v>15.502222222222223</v>
          </cell>
          <cell r="C8">
            <v>0.3467</v>
          </cell>
        </row>
        <row r="9">
          <cell r="B9">
            <v>17.635555555555555</v>
          </cell>
          <cell r="C9">
            <v>0.3935</v>
          </cell>
        </row>
        <row r="10">
          <cell r="B10">
            <v>19.515555555555554</v>
          </cell>
          <cell r="C10">
            <v>0.4435</v>
          </cell>
        </row>
        <row r="11">
          <cell r="B11">
            <v>21.20888888888889</v>
          </cell>
          <cell r="C11">
            <v>0.4842</v>
          </cell>
        </row>
        <row r="12">
          <cell r="B12">
            <v>22.526666666666667</v>
          </cell>
          <cell r="C12">
            <v>0.5133</v>
          </cell>
        </row>
        <row r="13">
          <cell r="B13">
            <v>24.406666666666666</v>
          </cell>
          <cell r="C13">
            <v>0.5488000000000001</v>
          </cell>
        </row>
        <row r="14">
          <cell r="B14">
            <v>26.413333333333334</v>
          </cell>
          <cell r="C14">
            <v>0.5748</v>
          </cell>
        </row>
        <row r="15">
          <cell r="B15">
            <v>28.733333333333334</v>
          </cell>
          <cell r="C15">
            <v>0.5915</v>
          </cell>
        </row>
        <row r="16">
          <cell r="B16">
            <v>31.86888888888889</v>
          </cell>
          <cell r="C16">
            <v>0.6019</v>
          </cell>
        </row>
        <row r="17">
          <cell r="B17">
            <v>35.128888888888895</v>
          </cell>
          <cell r="C17">
            <v>0.6113000000000001</v>
          </cell>
        </row>
        <row r="18">
          <cell r="B18">
            <v>39.83111111111111</v>
          </cell>
          <cell r="C18">
            <v>0.6185</v>
          </cell>
        </row>
        <row r="19">
          <cell r="B19">
            <v>43.593333333333334</v>
          </cell>
          <cell r="C19">
            <v>0.6258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E1">
      <selection activeCell="R20" sqref="R20"/>
    </sheetView>
  </sheetViews>
  <sheetFormatPr defaultColWidth="9.140625" defaultRowHeight="12.75"/>
  <cols>
    <col min="1" max="1" width="12.00390625" style="11" customWidth="1"/>
    <col min="2" max="2" width="11.57421875" style="11" bestFit="1" customWidth="1"/>
    <col min="3" max="4" width="9.140625" style="11" customWidth="1"/>
    <col min="5" max="5" width="10.8515625" style="11" customWidth="1"/>
    <col min="6" max="6" width="13.00390625" style="11" customWidth="1"/>
    <col min="7" max="7" width="11.8515625" style="11" customWidth="1"/>
  </cols>
  <sheetData>
    <row r="1" spans="1:7" ht="12.75" customHeight="1">
      <c r="A1" s="65" t="s">
        <v>0</v>
      </c>
      <c r="B1" s="65" t="s">
        <v>1</v>
      </c>
      <c r="C1" s="65" t="s">
        <v>2</v>
      </c>
      <c r="D1" s="69" t="s">
        <v>3</v>
      </c>
      <c r="E1" s="69" t="s">
        <v>4</v>
      </c>
      <c r="F1" s="69" t="s">
        <v>5</v>
      </c>
      <c r="G1" s="69" t="s">
        <v>6</v>
      </c>
    </row>
    <row r="2" spans="1:7" ht="12.75">
      <c r="A2" s="65"/>
      <c r="B2" s="65"/>
      <c r="C2" s="65"/>
      <c r="D2" s="70"/>
      <c r="E2" s="70"/>
      <c r="F2" s="70"/>
      <c r="G2" s="70"/>
    </row>
    <row r="3" spans="1:8" s="1" customFormat="1" ht="12.75" customHeight="1">
      <c r="A3" s="13" t="s">
        <v>7</v>
      </c>
      <c r="B3" s="14">
        <f>'[1]domicilios totais'!C7+'[1]domicilios totais'!C8+'[1]domicilios totais'!C16</f>
        <v>430.99</v>
      </c>
      <c r="C3" s="15">
        <v>0.6</v>
      </c>
      <c r="D3" s="15">
        <v>0.33</v>
      </c>
      <c r="E3" s="16">
        <f>'[1]domicilios totais'!L7+'[1]domicilios totais'!L8+'[1]domicilios totais'!L16</f>
        <v>9203</v>
      </c>
      <c r="F3" s="14">
        <f aca="true" t="shared" si="0" ref="F3:F9">E3/B3</f>
        <v>21.353163646488316</v>
      </c>
      <c r="G3" s="14">
        <f>F3*$F$12</f>
        <v>78.38245228948443</v>
      </c>
      <c r="H3" s="62">
        <f aca="true" t="shared" si="1" ref="H3:H8">+C3</f>
        <v>0.6</v>
      </c>
    </row>
    <row r="4" spans="1:8" s="2" customFormat="1" ht="12.75">
      <c r="A4" s="17" t="s">
        <v>8</v>
      </c>
      <c r="B4" s="18">
        <f>'[1]domicilios totais'!C5+'[1]domicilios totais'!C6+'[1]domicilios totais'!C12+'[1]domicilios totais'!C21+'[1]domicilios totais'!C22</f>
        <v>1310.4299999999998</v>
      </c>
      <c r="C4" s="19">
        <v>0.45</v>
      </c>
      <c r="D4" s="19">
        <v>0.25</v>
      </c>
      <c r="E4" s="20">
        <f>'[1]domicilios totais'!L5+'[1]domicilios totais'!L6+'[1]domicilios totais'!L12+'[1]domicilios totais'!L21+'[1]domicilios totais'!L22</f>
        <v>15251</v>
      </c>
      <c r="F4" s="18">
        <f t="shared" si="0"/>
        <v>11.638164571934405</v>
      </c>
      <c r="G4" s="18">
        <f aca="true" t="shared" si="2" ref="G4:G9">F4*$F$12</f>
        <v>42.72097073760024</v>
      </c>
      <c r="H4" s="62">
        <f t="shared" si="1"/>
        <v>0.45</v>
      </c>
    </row>
    <row r="5" spans="1:8" s="3" customFormat="1" ht="12.75">
      <c r="A5" s="21" t="s">
        <v>9</v>
      </c>
      <c r="B5" s="22">
        <f>'[1]domicilios totais'!C11+'[1]domicilios totais'!C17+'[1]domicilios totais'!C18+'[1]domicilios totais'!C19+'[1]domicilios totais'!C20+'[1]domicilios totais'!C3+'[1]domicilios totais'!C4</f>
        <v>3378.3100000000004</v>
      </c>
      <c r="C5" s="23">
        <v>0.3</v>
      </c>
      <c r="D5" s="23">
        <v>0.2</v>
      </c>
      <c r="E5" s="24">
        <f>'[1]domicilios totais'!L11+'[1]domicilios totais'!L17+'[1]domicilios totais'!L18+'[1]domicilios totais'!L19+'[1]domicilios totais'!L20+'[1]domicilios totais'!L3+'[1]domicilios totais'!L4</f>
        <v>14738</v>
      </c>
      <c r="F5" s="22">
        <f t="shared" si="0"/>
        <v>4.362536297734666</v>
      </c>
      <c r="G5" s="22">
        <f t="shared" si="2"/>
        <v>16.013846888424286</v>
      </c>
      <c r="H5" s="62">
        <f t="shared" si="1"/>
        <v>0.3</v>
      </c>
    </row>
    <row r="6" spans="1:8" s="4" customFormat="1" ht="12.75">
      <c r="A6" s="25" t="s">
        <v>10</v>
      </c>
      <c r="B6" s="26">
        <f>'[1]domicilios totais'!C9+'[1]domicilios totais'!C10</f>
        <v>1888.33</v>
      </c>
      <c r="C6" s="27">
        <v>0.17</v>
      </c>
      <c r="D6" s="27">
        <v>0.13</v>
      </c>
      <c r="E6" s="28">
        <f>'[1]domicilios totais'!L9+'[1]domicilios totais'!L10</f>
        <v>3132</v>
      </c>
      <c r="F6" s="26">
        <f t="shared" si="0"/>
        <v>1.658608400014828</v>
      </c>
      <c r="G6" s="26">
        <f t="shared" si="2"/>
        <v>6.088362171217695</v>
      </c>
      <c r="H6" s="62">
        <f t="shared" si="1"/>
        <v>0.17</v>
      </c>
    </row>
    <row r="7" spans="1:8" s="5" customFormat="1" ht="12.75">
      <c r="A7" s="29" t="s">
        <v>11</v>
      </c>
      <c r="B7" s="30">
        <f>'[1]domicilios totais'!C13+'[1]domicilios totais'!C14+'[1]domicilios totais'!C15</f>
        <v>7603.05</v>
      </c>
      <c r="C7" s="31">
        <v>0.04</v>
      </c>
      <c r="D7" s="31">
        <v>0.03</v>
      </c>
      <c r="E7" s="32">
        <f>'[1]domicilios totais'!L13+'[1]domicilios totais'!L14+'[1]domicilios totais'!L15</f>
        <v>2676</v>
      </c>
      <c r="F7" s="30">
        <f t="shared" si="0"/>
        <v>0.35196401444157277</v>
      </c>
      <c r="G7" s="30">
        <f t="shared" si="2"/>
        <v>1.2919772932157059</v>
      </c>
      <c r="H7" s="62">
        <f t="shared" si="1"/>
        <v>0.04</v>
      </c>
    </row>
    <row r="8" spans="1:8" ht="12.75">
      <c r="A8" s="33" t="s">
        <v>12</v>
      </c>
      <c r="B8" s="34">
        <f>'[1]domicilios totais'!B13+'[1]domicilios totais'!B14+'[1]domicilios totais'!B15-('[1]domicilios totais'!C13+'[1]domicilios totais'!C14+'[1]domicilios totais'!C15)+23167449.1182/10000</f>
        <v>4949.574911819999</v>
      </c>
      <c r="C8" s="35">
        <v>0</v>
      </c>
      <c r="D8" s="35">
        <v>0</v>
      </c>
      <c r="E8" s="36">
        <v>0</v>
      </c>
      <c r="F8" s="34">
        <f t="shared" si="0"/>
        <v>0</v>
      </c>
      <c r="G8" s="34">
        <f t="shared" si="2"/>
        <v>0</v>
      </c>
      <c r="H8" s="62">
        <f t="shared" si="1"/>
        <v>0</v>
      </c>
    </row>
    <row r="9" spans="1:7" ht="12.75">
      <c r="A9" s="33" t="s">
        <v>13</v>
      </c>
      <c r="B9" s="34">
        <f>SUM(B3:B8)</f>
        <v>19560.68491182</v>
      </c>
      <c r="C9" s="35"/>
      <c r="D9" s="35"/>
      <c r="E9" s="36">
        <f>SUM(E3:E8)</f>
        <v>45000</v>
      </c>
      <c r="F9" s="34">
        <f t="shared" si="0"/>
        <v>2.300532941605112</v>
      </c>
      <c r="G9" s="34">
        <f t="shared" si="2"/>
        <v>8.444716507635867</v>
      </c>
    </row>
    <row r="10" spans="1:11" ht="12.75">
      <c r="A10" s="66" t="s">
        <v>14</v>
      </c>
      <c r="B10" s="67"/>
      <c r="C10" s="67"/>
      <c r="D10" s="67"/>
      <c r="E10" s="67"/>
      <c r="F10" s="67"/>
      <c r="G10" s="68"/>
      <c r="I10" s="6"/>
      <c r="J10" s="6"/>
      <c r="K10" s="6"/>
    </row>
    <row r="11" spans="9:11" ht="12.75">
      <c r="I11" s="6"/>
      <c r="J11" s="6"/>
      <c r="K11" s="6"/>
    </row>
    <row r="12" spans="6:11" ht="12.75">
      <c r="F12" s="37">
        <f>71947/19600</f>
        <v>3.670765306122449</v>
      </c>
      <c r="G12" s="11" t="s">
        <v>17</v>
      </c>
      <c r="I12" s="6"/>
      <c r="J12" s="6"/>
      <c r="K12" s="6"/>
    </row>
    <row r="13" spans="7:11" ht="12.75">
      <c r="G13" s="37"/>
      <c r="I13" s="6"/>
      <c r="J13" s="6"/>
      <c r="K13" s="6"/>
    </row>
    <row r="14" spans="1:11" ht="12.75">
      <c r="A14" s="11" t="s">
        <v>39</v>
      </c>
      <c r="B14" s="11" t="s">
        <v>38</v>
      </c>
      <c r="F14" s="37"/>
      <c r="I14" s="6"/>
      <c r="J14" s="6"/>
      <c r="K14" s="6"/>
    </row>
    <row r="15" spans="1:11" ht="12.75">
      <c r="A15" s="11" t="s">
        <v>37</v>
      </c>
      <c r="B15" s="11" t="s">
        <v>36</v>
      </c>
      <c r="G15" s="37"/>
      <c r="I15" s="6"/>
      <c r="J15" s="6"/>
      <c r="K15" s="6"/>
    </row>
    <row r="16" spans="1:11" ht="12.75">
      <c r="A16" s="69" t="s">
        <v>6</v>
      </c>
      <c r="B16" s="69" t="s">
        <v>5</v>
      </c>
      <c r="C16" s="65" t="s">
        <v>2</v>
      </c>
      <c r="D16" s="69" t="s">
        <v>3</v>
      </c>
      <c r="I16" s="6"/>
      <c r="J16" s="6"/>
      <c r="K16" s="6"/>
    </row>
    <row r="17" spans="1:4" ht="12.75">
      <c r="A17" s="70"/>
      <c r="B17" s="70"/>
      <c r="C17" s="65"/>
      <c r="D17" s="70"/>
    </row>
    <row r="18" spans="1:7" ht="12.75">
      <c r="A18" s="38">
        <v>0.5</v>
      </c>
      <c r="B18" s="39">
        <f>A18/$F$12</f>
        <v>0.136211377819784</v>
      </c>
      <c r="C18" s="40">
        <f aca="true" t="shared" si="3" ref="C18:C24">-0.0011*B18^2+0.049*B18+0.066</f>
        <v>0.0726539486197771</v>
      </c>
      <c r="D18" s="40">
        <f>-0.0007*B18^2+0.0263*B18+0.0616</f>
        <v>0.06516937175904702</v>
      </c>
      <c r="G18" s="10"/>
    </row>
    <row r="19" spans="1:4" ht="12.75">
      <c r="A19" s="38">
        <v>10</v>
      </c>
      <c r="B19" s="39">
        <f aca="true" t="shared" si="4" ref="B19:B38">A19/$F$12</f>
        <v>2.72422755639568</v>
      </c>
      <c r="C19" s="40">
        <f t="shared" si="3"/>
        <v>0.1913235929064602</v>
      </c>
      <c r="D19" s="40">
        <f aca="true" t="shared" si="5" ref="D19:D25">-0.0007*B19^2+0.0263*B19+0.0616</f>
        <v>0.1280521936878885</v>
      </c>
    </row>
    <row r="20" spans="1:4" ht="12.75">
      <c r="A20" s="38">
        <f aca="true" t="shared" si="6" ref="A20:A26">A19+10</f>
        <v>20</v>
      </c>
      <c r="B20" s="39">
        <f t="shared" si="4"/>
        <v>5.44845511279136</v>
      </c>
      <c r="C20" s="40">
        <f t="shared" si="3"/>
        <v>0.3003200710990641</v>
      </c>
      <c r="D20" s="40">
        <f t="shared" si="5"/>
        <v>0.18411440528514117</v>
      </c>
    </row>
    <row r="21" spans="1:4" ht="12.75">
      <c r="A21" s="38">
        <f t="shared" si="6"/>
        <v>30</v>
      </c>
      <c r="B21" s="39">
        <f t="shared" si="4"/>
        <v>8.17268266918704</v>
      </c>
      <c r="C21" s="40">
        <f t="shared" si="3"/>
        <v>0.39298943457781177</v>
      </c>
      <c r="D21" s="40">
        <f t="shared" si="5"/>
        <v>0.22978663479175804</v>
      </c>
    </row>
    <row r="22" spans="1:4" ht="12.75">
      <c r="A22" s="38">
        <f t="shared" si="6"/>
        <v>40</v>
      </c>
      <c r="B22" s="39">
        <f t="shared" si="4"/>
        <v>10.89691022558272</v>
      </c>
      <c r="C22" s="40">
        <f t="shared" si="3"/>
        <v>0.4693316833427032</v>
      </c>
      <c r="D22" s="40">
        <f t="shared" si="5"/>
        <v>0.26506888220773905</v>
      </c>
    </row>
    <row r="23" spans="1:4" ht="12.75">
      <c r="A23" s="38">
        <f t="shared" si="6"/>
        <v>50</v>
      </c>
      <c r="B23" s="39">
        <f t="shared" si="4"/>
        <v>13.621137781978401</v>
      </c>
      <c r="C23" s="40">
        <f t="shared" si="3"/>
        <v>0.5293468173937381</v>
      </c>
      <c r="D23" s="40">
        <f t="shared" si="5"/>
        <v>0.28996114753308433</v>
      </c>
    </row>
    <row r="24" spans="1:4" ht="12.75">
      <c r="A24" s="38">
        <f t="shared" si="6"/>
        <v>60</v>
      </c>
      <c r="B24" s="39">
        <f t="shared" si="4"/>
        <v>16.34536533837408</v>
      </c>
      <c r="C24" s="40">
        <f t="shared" si="3"/>
        <v>0.573034836730917</v>
      </c>
      <c r="D24" s="40">
        <f t="shared" si="5"/>
        <v>0.30446343076779375</v>
      </c>
    </row>
    <row r="25" spans="1:5" ht="12.75">
      <c r="A25" s="38">
        <f t="shared" si="6"/>
        <v>70</v>
      </c>
      <c r="B25" s="39">
        <f t="shared" si="4"/>
        <v>19.069592894769762</v>
      </c>
      <c r="C25" s="40">
        <v>0.6</v>
      </c>
      <c r="D25" s="40">
        <f t="shared" si="5"/>
        <v>0.3085757319118674</v>
      </c>
      <c r="E25" s="41">
        <v>0.6019398323709599</v>
      </c>
    </row>
    <row r="26" spans="1:4" ht="12.75">
      <c r="A26" s="38">
        <f t="shared" si="6"/>
        <v>80</v>
      </c>
      <c r="B26" s="39">
        <f t="shared" si="4"/>
        <v>21.79382045116544</v>
      </c>
      <c r="C26" s="40">
        <f>$E$25</f>
        <v>0.6019398323709599</v>
      </c>
      <c r="D26" s="40">
        <f>D25</f>
        <v>0.3085757319118674</v>
      </c>
    </row>
    <row r="27" spans="1:4" ht="12.75">
      <c r="A27" s="38">
        <f aca="true" t="shared" si="7" ref="A27:A36">A26+10</f>
        <v>90</v>
      </c>
      <c r="B27" s="39">
        <f t="shared" si="4"/>
        <v>24.51804800756112</v>
      </c>
      <c r="C27" s="40">
        <f aca="true" t="shared" si="8" ref="C27:C38">$E$25</f>
        <v>0.6019398323709599</v>
      </c>
      <c r="D27" s="40">
        <f aca="true" t="shared" si="9" ref="D27:D38">D26</f>
        <v>0.3085757319118674</v>
      </c>
    </row>
    <row r="28" spans="1:4" ht="12.75">
      <c r="A28" s="38">
        <f t="shared" si="7"/>
        <v>100</v>
      </c>
      <c r="B28" s="39">
        <f t="shared" si="4"/>
        <v>27.242275563956802</v>
      </c>
      <c r="C28" s="40">
        <f t="shared" si="8"/>
        <v>0.6019398323709599</v>
      </c>
      <c r="D28" s="40">
        <f t="shared" si="9"/>
        <v>0.3085757319118674</v>
      </c>
    </row>
    <row r="29" spans="1:4" ht="12.75">
      <c r="A29" s="38">
        <f t="shared" si="7"/>
        <v>110</v>
      </c>
      <c r="B29" s="39">
        <f t="shared" si="4"/>
        <v>29.96650312035248</v>
      </c>
      <c r="C29" s="40">
        <f t="shared" si="8"/>
        <v>0.6019398323709599</v>
      </c>
      <c r="D29" s="40">
        <f t="shared" si="9"/>
        <v>0.3085757319118674</v>
      </c>
    </row>
    <row r="30" spans="1:4" ht="12.75">
      <c r="A30" s="38">
        <f t="shared" si="7"/>
        <v>120</v>
      </c>
      <c r="B30" s="39">
        <f t="shared" si="4"/>
        <v>32.69073067674816</v>
      </c>
      <c r="C30" s="40">
        <f t="shared" si="8"/>
        <v>0.6019398323709599</v>
      </c>
      <c r="D30" s="40">
        <f t="shared" si="9"/>
        <v>0.3085757319118674</v>
      </c>
    </row>
    <row r="31" spans="1:4" ht="12.75">
      <c r="A31" s="38">
        <f t="shared" si="7"/>
        <v>130</v>
      </c>
      <c r="B31" s="39">
        <f t="shared" si="4"/>
        <v>35.41495823314384</v>
      </c>
      <c r="C31" s="40">
        <f t="shared" si="8"/>
        <v>0.6019398323709599</v>
      </c>
      <c r="D31" s="40">
        <f t="shared" si="9"/>
        <v>0.3085757319118674</v>
      </c>
    </row>
    <row r="32" spans="1:4" ht="12.75">
      <c r="A32" s="38">
        <f t="shared" si="7"/>
        <v>140</v>
      </c>
      <c r="B32" s="39">
        <f t="shared" si="4"/>
        <v>38.139185789539525</v>
      </c>
      <c r="C32" s="40">
        <f t="shared" si="8"/>
        <v>0.6019398323709599</v>
      </c>
      <c r="D32" s="40">
        <f t="shared" si="9"/>
        <v>0.3085757319118674</v>
      </c>
    </row>
    <row r="33" spans="1:4" ht="12.75">
      <c r="A33" s="38">
        <f t="shared" si="7"/>
        <v>150</v>
      </c>
      <c r="B33" s="39">
        <f t="shared" si="4"/>
        <v>40.8634133459352</v>
      </c>
      <c r="C33" s="40">
        <f t="shared" si="8"/>
        <v>0.6019398323709599</v>
      </c>
      <c r="D33" s="40">
        <f t="shared" si="9"/>
        <v>0.3085757319118674</v>
      </c>
    </row>
    <row r="34" spans="1:4" ht="12.75">
      <c r="A34" s="38">
        <f t="shared" si="7"/>
        <v>160</v>
      </c>
      <c r="B34" s="39">
        <f t="shared" si="4"/>
        <v>43.58764090233088</v>
      </c>
      <c r="C34" s="40">
        <f t="shared" si="8"/>
        <v>0.6019398323709599</v>
      </c>
      <c r="D34" s="40">
        <f t="shared" si="9"/>
        <v>0.3085757319118674</v>
      </c>
    </row>
    <row r="35" spans="1:4" ht="12.75">
      <c r="A35" s="38">
        <f t="shared" si="7"/>
        <v>170</v>
      </c>
      <c r="B35" s="39">
        <f t="shared" si="4"/>
        <v>46.311868458726565</v>
      </c>
      <c r="C35" s="40">
        <f t="shared" si="8"/>
        <v>0.6019398323709599</v>
      </c>
      <c r="D35" s="40">
        <f t="shared" si="9"/>
        <v>0.3085757319118674</v>
      </c>
    </row>
    <row r="36" spans="1:4" ht="12.75">
      <c r="A36" s="38">
        <f t="shared" si="7"/>
        <v>180</v>
      </c>
      <c r="B36" s="39">
        <f t="shared" si="4"/>
        <v>49.03609601512224</v>
      </c>
      <c r="C36" s="40">
        <f t="shared" si="8"/>
        <v>0.6019398323709599</v>
      </c>
      <c r="D36" s="40">
        <f t="shared" si="9"/>
        <v>0.3085757319118674</v>
      </c>
    </row>
    <row r="37" spans="1:4" ht="12.75">
      <c r="A37" s="38">
        <f>A36+10</f>
        <v>190</v>
      </c>
      <c r="B37" s="39">
        <f t="shared" si="4"/>
        <v>51.76032357151792</v>
      </c>
      <c r="C37" s="40">
        <f t="shared" si="8"/>
        <v>0.6019398323709599</v>
      </c>
      <c r="D37" s="40">
        <f t="shared" si="9"/>
        <v>0.3085757319118674</v>
      </c>
    </row>
    <row r="38" spans="1:4" ht="12.75">
      <c r="A38" s="38">
        <f>A37+10</f>
        <v>200</v>
      </c>
      <c r="B38" s="39">
        <f t="shared" si="4"/>
        <v>54.484551127913605</v>
      </c>
      <c r="C38" s="40">
        <f t="shared" si="8"/>
        <v>0.6019398323709599</v>
      </c>
      <c r="D38" s="40">
        <f t="shared" si="9"/>
        <v>0.3085757319118674</v>
      </c>
    </row>
  </sheetData>
  <mergeCells count="12">
    <mergeCell ref="A16:A17"/>
    <mergeCell ref="C16:C17"/>
    <mergeCell ref="B16:B17"/>
    <mergeCell ref="D16:D17"/>
    <mergeCell ref="A1:A2"/>
    <mergeCell ref="B1:B2"/>
    <mergeCell ref="C1:C2"/>
    <mergeCell ref="A10:G10"/>
    <mergeCell ref="F1:F2"/>
    <mergeCell ref="D1:D2"/>
    <mergeCell ref="G1:G2"/>
    <mergeCell ref="E1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65">
      <selection activeCell="K51" sqref="K51"/>
    </sheetView>
  </sheetViews>
  <sheetFormatPr defaultColWidth="9.140625" defaultRowHeight="12.75"/>
  <cols>
    <col min="1" max="1" width="10.8515625" style="0" bestFit="1" customWidth="1"/>
    <col min="2" max="5" width="10.8515625" style="11" customWidth="1"/>
    <col min="6" max="6" width="9.28125" style="11" bestFit="1" customWidth="1"/>
    <col min="7" max="7" width="10.421875" style="11" bestFit="1" customWidth="1"/>
    <col min="8" max="10" width="9.140625" style="11" customWidth="1"/>
    <col min="11" max="11" width="8.00390625" style="11" bestFit="1" customWidth="1"/>
    <col min="12" max="12" width="7.28125" style="44" customWidth="1"/>
    <col min="13" max="13" width="12.421875" style="11" bestFit="1" customWidth="1"/>
    <col min="14" max="14" width="12.421875" style="11" customWidth="1"/>
    <col min="15" max="71" width="9.140625" style="11" customWidth="1"/>
  </cols>
  <sheetData>
    <row r="1" spans="11:14" ht="12.75">
      <c r="K1" s="71" t="s">
        <v>18</v>
      </c>
      <c r="L1" s="71"/>
      <c r="M1" s="71"/>
      <c r="N1" s="42"/>
    </row>
    <row r="2" spans="1:13" ht="12.75">
      <c r="A2" t="s">
        <v>19</v>
      </c>
      <c r="B2" s="11" t="s">
        <v>20</v>
      </c>
      <c r="C2" s="11" t="s">
        <v>21</v>
      </c>
      <c r="D2" s="11" t="s">
        <v>22</v>
      </c>
      <c r="E2" s="11" t="s">
        <v>34</v>
      </c>
      <c r="F2" s="11" t="s">
        <v>23</v>
      </c>
      <c r="G2" s="11" t="s">
        <v>24</v>
      </c>
      <c r="H2" s="72" t="s">
        <v>25</v>
      </c>
      <c r="I2" s="72"/>
      <c r="J2" s="72"/>
      <c r="K2" s="11" t="s">
        <v>26</v>
      </c>
      <c r="M2" s="11" t="s">
        <v>24</v>
      </c>
    </row>
    <row r="3" spans="1:16" ht="12.75">
      <c r="A3">
        <v>1</v>
      </c>
      <c r="B3" s="7">
        <v>3623.4992345839687</v>
      </c>
      <c r="C3" s="45">
        <v>285.16450507999997</v>
      </c>
      <c r="D3" s="46">
        <f>B3/C3</f>
        <v>12.706697958665766</v>
      </c>
      <c r="E3" s="46">
        <f>D3*$B$19</f>
        <v>54.751127581797014</v>
      </c>
      <c r="F3" s="12">
        <v>0.31312999999999996</v>
      </c>
      <c r="G3" s="12">
        <v>0.13283</v>
      </c>
      <c r="H3" s="11">
        <v>1</v>
      </c>
      <c r="I3" s="37">
        <f>H3*$B$19</f>
        <v>4.308839933073062</v>
      </c>
      <c r="J3" s="11">
        <f>0.02*H3+0.07</f>
        <v>0.09000000000000001</v>
      </c>
      <c r="K3" s="11">
        <v>46.85820398004979</v>
      </c>
      <c r="L3" s="11">
        <f>($Q$5+$Q$6*K3+$Q$7*K3^2+$Q$8*K3^3+$Q$9*K3^4)/100</f>
        <v>0.6458536633363099</v>
      </c>
      <c r="M3" s="47">
        <v>27.51776285375885</v>
      </c>
      <c r="N3" s="47">
        <f aca="true" t="shared" si="0" ref="N3:N8">0.0017*K3+0.0833</f>
        <v>0.16295894676608463</v>
      </c>
      <c r="O3" s="37">
        <f aca="true" t="shared" si="1" ref="O3:O8">L3-M3</f>
        <v>-26.87190919042254</v>
      </c>
      <c r="P3" s="11" t="s">
        <v>27</v>
      </c>
    </row>
    <row r="4" spans="1:16" ht="12.75">
      <c r="A4">
        <v>2</v>
      </c>
      <c r="B4" s="7">
        <v>550.737563236082</v>
      </c>
      <c r="C4" s="45">
        <v>44.90809443</v>
      </c>
      <c r="D4" s="46">
        <f>B4/C4</f>
        <v>12.263659151570952</v>
      </c>
      <c r="E4" s="46">
        <f aca="true" t="shared" si="2" ref="E4:E15">D4*$B$19</f>
        <v>52.84214427788583</v>
      </c>
      <c r="F4" s="12">
        <v>0.26649999999999996</v>
      </c>
      <c r="G4" s="12">
        <v>0.07963</v>
      </c>
      <c r="H4" s="11">
        <v>5</v>
      </c>
      <c r="I4" s="37">
        <f>H4*$B$19</f>
        <v>21.544199665365312</v>
      </c>
      <c r="J4" s="11">
        <v>0.17</v>
      </c>
      <c r="K4" s="11">
        <v>12.70411716528678</v>
      </c>
      <c r="L4" s="11">
        <f>((0.02*K4+0.07)*100)/100</f>
        <v>0.32408234330573565</v>
      </c>
      <c r="M4" s="47">
        <v>36.01724336000001</v>
      </c>
      <c r="N4" s="47">
        <f t="shared" si="0"/>
        <v>0.10489699918098752</v>
      </c>
      <c r="O4" s="37">
        <f t="shared" si="1"/>
        <v>-35.693161016694276</v>
      </c>
      <c r="P4" s="11" t="s">
        <v>28</v>
      </c>
    </row>
    <row r="5" spans="1:17" ht="12.75">
      <c r="A5">
        <v>3</v>
      </c>
      <c r="B5" s="7">
        <v>1302.1243086893694</v>
      </c>
      <c r="C5" s="45">
        <v>51.53646989</v>
      </c>
      <c r="D5" s="46"/>
      <c r="E5" s="46"/>
      <c r="F5" s="12">
        <v>0.04223</v>
      </c>
      <c r="G5" s="12">
        <v>0.028140000000000002</v>
      </c>
      <c r="H5" s="11">
        <v>10</v>
      </c>
      <c r="I5" s="37">
        <f>H5*$B$19</f>
        <v>43.088399330730624</v>
      </c>
      <c r="J5" s="11">
        <v>0.27</v>
      </c>
      <c r="K5" s="11">
        <v>26.28415617389452</v>
      </c>
      <c r="L5" s="11">
        <f>($Q$5+$Q$6*K5+$Q$7*K5^2+$Q$8*K5^3+$Q$9*K5^4)/100</f>
        <v>0.5642349063284195</v>
      </c>
      <c r="M5" s="47">
        <v>11.530162649999996</v>
      </c>
      <c r="N5" s="47">
        <f t="shared" si="0"/>
        <v>0.12798306549562066</v>
      </c>
      <c r="O5" s="37">
        <f t="shared" si="1"/>
        <v>-10.965927743671577</v>
      </c>
      <c r="P5" s="11" t="s">
        <v>29</v>
      </c>
      <c r="Q5" s="11">
        <v>2.2095107</v>
      </c>
    </row>
    <row r="6" spans="1:17" ht="12.75">
      <c r="A6">
        <v>4</v>
      </c>
      <c r="B6" s="7">
        <v>1890.2864681156868</v>
      </c>
      <c r="C6" s="45">
        <v>208.13025256</v>
      </c>
      <c r="D6" s="46">
        <f>B6/C6</f>
        <v>9.082228291491422</v>
      </c>
      <c r="E6" s="46">
        <f t="shared" si="2"/>
        <v>39.13386794366417</v>
      </c>
      <c r="F6" s="12">
        <v>0.26344</v>
      </c>
      <c r="G6" s="12">
        <v>0.12365999999999999</v>
      </c>
      <c r="H6" s="11">
        <v>15</v>
      </c>
      <c r="I6" s="37">
        <f>H6*$B$19</f>
        <v>64.63259899609594</v>
      </c>
      <c r="J6" s="11">
        <v>0.37</v>
      </c>
      <c r="K6" s="11">
        <v>31.85174966733522</v>
      </c>
      <c r="L6" s="11">
        <f>($Q$5+$Q$6*K6+$Q$7*K6^2+$Q$8*K6^3+$Q$9*K6^4)/100</f>
        <v>0.6082679620657497</v>
      </c>
      <c r="M6" s="47">
        <v>25.80432792255856</v>
      </c>
      <c r="N6" s="47">
        <f t="shared" si="0"/>
        <v>0.13744797443446988</v>
      </c>
      <c r="O6" s="37">
        <f t="shared" si="1"/>
        <v>-25.19605996049281</v>
      </c>
      <c r="P6" s="11" t="s">
        <v>30</v>
      </c>
      <c r="Q6" s="11">
        <v>0.43080747</v>
      </c>
    </row>
    <row r="7" spans="1:17" ht="12.75">
      <c r="A7">
        <v>5</v>
      </c>
      <c r="B7" s="7">
        <v>70.37687884852232</v>
      </c>
      <c r="C7" s="45">
        <v>29.443690450000002</v>
      </c>
      <c r="D7" s="46">
        <f>B7/C7</f>
        <v>2.390219356776396</v>
      </c>
      <c r="E7" s="46">
        <f t="shared" si="2"/>
        <v>10.299072613282345</v>
      </c>
      <c r="F7" s="12">
        <v>0.12678</v>
      </c>
      <c r="G7" s="12">
        <v>0.08094</v>
      </c>
      <c r="H7" s="11">
        <v>20</v>
      </c>
      <c r="I7" s="37">
        <f>H7*$B$19</f>
        <v>86.17679866146125</v>
      </c>
      <c r="J7" s="11">
        <v>0.47</v>
      </c>
      <c r="K7" s="11">
        <v>16.947088503048054</v>
      </c>
      <c r="L7" s="11">
        <f>((0.02*K7+0.07)*100)/100</f>
        <v>0.40894177006096105</v>
      </c>
      <c r="M7" s="47">
        <v>23.4048416</v>
      </c>
      <c r="N7" s="47">
        <f t="shared" si="0"/>
        <v>0.11211005045518169</v>
      </c>
      <c r="O7" s="37">
        <f t="shared" si="1"/>
        <v>-22.99589982993904</v>
      </c>
      <c r="P7" s="11" t="s">
        <v>31</v>
      </c>
      <c r="Q7" s="11">
        <v>0.20869032</v>
      </c>
    </row>
    <row r="8" spans="1:17" ht="12.75">
      <c r="A8">
        <v>6</v>
      </c>
      <c r="B8" s="7">
        <v>2634.4116768725517</v>
      </c>
      <c r="C8" s="45">
        <v>344.36406683999996</v>
      </c>
      <c r="D8" s="46">
        <f>B8/C8</f>
        <v>7.650077143782148</v>
      </c>
      <c r="E8" s="46">
        <f t="shared" si="2"/>
        <v>32.962957888218035</v>
      </c>
      <c r="F8" s="12">
        <v>0.20425000000000001</v>
      </c>
      <c r="G8" s="12">
        <v>0.07417</v>
      </c>
      <c r="K8" s="11">
        <v>27.58583302213583</v>
      </c>
      <c r="L8" s="11">
        <f>($Q$5+$Q$6*K8+$Q$7*K8^2+$Q$8*K8^3+$Q$9*K8^4)/100</f>
        <v>0.5785015172740574</v>
      </c>
      <c r="M8" s="47">
        <v>34.72840469999997</v>
      </c>
      <c r="N8" s="47">
        <f t="shared" si="0"/>
        <v>0.1301959161376309</v>
      </c>
      <c r="O8" s="37">
        <f t="shared" si="1"/>
        <v>-34.149903182725915</v>
      </c>
      <c r="P8" s="11" t="s">
        <v>32</v>
      </c>
      <c r="Q8" s="11">
        <v>-0.0075377483</v>
      </c>
    </row>
    <row r="9" spans="1:17" ht="12.75">
      <c r="A9">
        <v>7</v>
      </c>
      <c r="B9" s="7">
        <v>622.4943086673825</v>
      </c>
      <c r="C9" s="45"/>
      <c r="D9" s="46"/>
      <c r="E9" s="46"/>
      <c r="F9" s="12" t="s">
        <v>15</v>
      </c>
      <c r="G9" s="12" t="s">
        <v>15</v>
      </c>
      <c r="L9" s="11">
        <v>0</v>
      </c>
      <c r="M9" s="11" t="s">
        <v>15</v>
      </c>
      <c r="N9" s="47"/>
      <c r="P9" s="11" t="s">
        <v>33</v>
      </c>
      <c r="Q9" s="48">
        <v>7.4568531E-05</v>
      </c>
    </row>
    <row r="10" spans="1:15" ht="12.75">
      <c r="A10">
        <v>8</v>
      </c>
      <c r="B10" s="7">
        <v>547.63209251317</v>
      </c>
      <c r="C10" s="45">
        <v>226.24646897</v>
      </c>
      <c r="D10" s="46">
        <f aca="true" t="shared" si="3" ref="D10:D15">B10/C10</f>
        <v>2.4205111134166932</v>
      </c>
      <c r="E10" s="46">
        <f t="shared" si="2"/>
        <v>10.429594943936987</v>
      </c>
      <c r="F10" s="12">
        <v>0.20772</v>
      </c>
      <c r="G10" s="12">
        <v>0.07647</v>
      </c>
      <c r="K10" s="11">
        <v>24.463003639681123</v>
      </c>
      <c r="L10" s="11">
        <f>($Q$5+$Q$6*K10+$Q$7*K10^2+$Q$8*K10^3+$Q$9*K10^4)/100</f>
        <v>0.5399216512194478</v>
      </c>
      <c r="M10" s="47">
        <v>20.98573559049286</v>
      </c>
      <c r="N10" s="47">
        <f aca="true" t="shared" si="4" ref="N10:N15">0.0017*K10+0.0833</f>
        <v>0.12488710618745791</v>
      </c>
      <c r="O10" s="37">
        <f aca="true" t="shared" si="5" ref="O10:O15">L10-M10</f>
        <v>-20.445813939273414</v>
      </c>
    </row>
    <row r="11" spans="1:15" ht="12.75">
      <c r="A11">
        <v>9</v>
      </c>
      <c r="B11" s="7">
        <v>1428.3615976433719</v>
      </c>
      <c r="C11" s="45">
        <v>85.89339351</v>
      </c>
      <c r="D11" s="46">
        <f t="shared" si="3"/>
        <v>16.629469849471917</v>
      </c>
      <c r="E11" s="46">
        <f t="shared" si="2"/>
        <v>71.65372375323908</v>
      </c>
      <c r="F11" s="12">
        <v>0.37751</v>
      </c>
      <c r="G11" s="12">
        <v>0.10381</v>
      </c>
      <c r="K11" s="11">
        <v>38.57191141226444</v>
      </c>
      <c r="L11" s="11">
        <f>($Q$5+$Q$6*K11+$Q$7*K11^2+$Q$8*K11^3+$Q$9*K11^4)/100</f>
        <v>0.6180510583083156</v>
      </c>
      <c r="M11" s="47">
        <v>20.6529056</v>
      </c>
      <c r="N11" s="47">
        <f t="shared" si="4"/>
        <v>0.14887224940084953</v>
      </c>
      <c r="O11" s="37">
        <f t="shared" si="5"/>
        <v>-20.034854541691686</v>
      </c>
    </row>
    <row r="12" spans="1:15" ht="12.75">
      <c r="A12">
        <v>10</v>
      </c>
      <c r="B12" s="7">
        <v>413.60255713833834</v>
      </c>
      <c r="C12" s="45">
        <v>47.36574419</v>
      </c>
      <c r="D12" s="46">
        <f t="shared" si="3"/>
        <v>8.732103004214158</v>
      </c>
      <c r="E12" s="46">
        <f t="shared" si="2"/>
        <v>37.62523412426522</v>
      </c>
      <c r="F12" s="12">
        <v>0.30246</v>
      </c>
      <c r="G12" s="12">
        <v>0.11696</v>
      </c>
      <c r="K12" s="11">
        <v>29.077829525747934</v>
      </c>
      <c r="L12" s="11">
        <f>($Q$5+$Q$6*K12+$Q$7*K12^2+$Q$8*K12^3+$Q$9*K12^4)/100</f>
        <v>0.5917543864715555</v>
      </c>
      <c r="M12" s="47">
        <v>42.03920240000001</v>
      </c>
      <c r="N12" s="47">
        <f t="shared" si="4"/>
        <v>0.1327323101937715</v>
      </c>
      <c r="O12" s="37">
        <f t="shared" si="5"/>
        <v>-41.44744801352845</v>
      </c>
    </row>
    <row r="13" spans="1:15" ht="12.75">
      <c r="A13">
        <v>11</v>
      </c>
      <c r="B13" s="7">
        <v>718.093829468575</v>
      </c>
      <c r="C13" s="45">
        <v>386.65693204</v>
      </c>
      <c r="D13" s="46">
        <f t="shared" si="3"/>
        <v>1.857185970208566</v>
      </c>
      <c r="E13" s="46">
        <f t="shared" si="2"/>
        <v>8.002317071577707</v>
      </c>
      <c r="F13" s="12">
        <v>0.14987999999999999</v>
      </c>
      <c r="G13" s="12">
        <v>0.10207000000000001</v>
      </c>
      <c r="K13" s="11">
        <v>14.466002267184036</v>
      </c>
      <c r="L13" s="11">
        <f>((0.02*K13+0.07)*100)/100</f>
        <v>0.3593200453436808</v>
      </c>
      <c r="M13" s="47">
        <v>10.918100189999993</v>
      </c>
      <c r="N13" s="47">
        <f t="shared" si="4"/>
        <v>0.10789220385421286</v>
      </c>
      <c r="O13" s="37">
        <f t="shared" si="5"/>
        <v>-10.558780144656312</v>
      </c>
    </row>
    <row r="14" spans="1:15" ht="12.75">
      <c r="A14">
        <v>12</v>
      </c>
      <c r="B14" s="7">
        <v>619.0144240354105</v>
      </c>
      <c r="C14" s="45">
        <v>213.65622974000001</v>
      </c>
      <c r="D14" s="46">
        <f t="shared" si="3"/>
        <v>2.897244909678946</v>
      </c>
      <c r="E14" s="46">
        <f t="shared" si="2"/>
        <v>12.483764562717301</v>
      </c>
      <c r="F14" s="12">
        <v>0.1435</v>
      </c>
      <c r="G14" s="12">
        <v>0.09000999999999999</v>
      </c>
      <c r="K14" s="11">
        <v>14.417218424433546</v>
      </c>
      <c r="L14" s="11">
        <f>((0.02*K14+0.07)*100)/100</f>
        <v>0.358344368488671</v>
      </c>
      <c r="M14" s="47">
        <v>9.276383315361809</v>
      </c>
      <c r="N14" s="47">
        <f t="shared" si="4"/>
        <v>0.10780927132153703</v>
      </c>
      <c r="O14" s="37">
        <f t="shared" si="5"/>
        <v>-8.918038946873137</v>
      </c>
    </row>
    <row r="15" spans="1:15" ht="12.75">
      <c r="A15">
        <v>13</v>
      </c>
      <c r="B15" s="7">
        <v>614.230127712749</v>
      </c>
      <c r="C15" s="45">
        <v>140.60499905</v>
      </c>
      <c r="D15" s="46">
        <f t="shared" si="3"/>
        <v>4.3684800104036485</v>
      </c>
      <c r="E15" s="46">
        <f t="shared" si="2"/>
        <v>18.823081115658667</v>
      </c>
      <c r="F15" s="12">
        <v>0.1875</v>
      </c>
      <c r="G15" s="12">
        <v>0.0882</v>
      </c>
      <c r="K15" s="11">
        <v>21.72396143926046</v>
      </c>
      <c r="L15" s="11">
        <f>($Q$5+$Q$6*K15+$Q$7*K15^2+$Q$8*K15^3+$Q$9*K15^4)/100</f>
        <v>0.4938496337721699</v>
      </c>
      <c r="M15" s="47">
        <v>30.104014240000012</v>
      </c>
      <c r="N15" s="47">
        <f t="shared" si="4"/>
        <v>0.12023073444674279</v>
      </c>
      <c r="O15" s="37">
        <f t="shared" si="5"/>
        <v>-29.61016460622784</v>
      </c>
    </row>
    <row r="17" spans="2:13" ht="12.75">
      <c r="B17" s="7"/>
      <c r="M17" s="11">
        <v>100</v>
      </c>
    </row>
    <row r="18" ht="12.75">
      <c r="B18" s="7"/>
    </row>
    <row r="19" spans="2:3" ht="12.75">
      <c r="B19" s="37">
        <f>30903/7172</f>
        <v>4.308839933073062</v>
      </c>
      <c r="C19" s="11" t="s">
        <v>17</v>
      </c>
    </row>
    <row r="20" ht="12.75">
      <c r="B20" s="7"/>
    </row>
    <row r="21" ht="12.75">
      <c r="B21" s="7"/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7"/>
    </row>
  </sheetData>
  <mergeCells count="2">
    <mergeCell ref="K1:M1"/>
    <mergeCell ref="H2:J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I5">
      <selection activeCell="P23" sqref="P23"/>
    </sheetView>
  </sheetViews>
  <sheetFormatPr defaultColWidth="9.140625" defaultRowHeight="12.75"/>
  <cols>
    <col min="1" max="1" width="15.28125" style="11" bestFit="1" customWidth="1"/>
    <col min="2" max="2" width="7.7109375" style="11" bestFit="1" customWidth="1"/>
    <col min="3" max="3" width="13.140625" style="11" bestFit="1" customWidth="1"/>
    <col min="4" max="4" width="18.7109375" style="11" bestFit="1" customWidth="1"/>
    <col min="5" max="5" width="14.421875" style="11" bestFit="1" customWidth="1"/>
    <col min="6" max="6" width="16.28125" style="11" bestFit="1" customWidth="1"/>
    <col min="7" max="7" width="20.140625" style="11" bestFit="1" customWidth="1"/>
    <col min="8" max="8" width="18.57421875" style="11" bestFit="1" customWidth="1"/>
    <col min="9" max="9" width="21.8515625" style="11" bestFit="1" customWidth="1"/>
    <col min="10" max="10" width="19.00390625" style="11" bestFit="1" customWidth="1"/>
    <col min="11" max="11" width="12.421875" style="11" bestFit="1" customWidth="1"/>
    <col min="12" max="61" width="9.140625" style="11" customWidth="1"/>
  </cols>
  <sheetData>
    <row r="1" spans="1:11" ht="12.75">
      <c r="A1" s="43" t="s">
        <v>40</v>
      </c>
      <c r="B1" s="43"/>
      <c r="C1" s="43" t="s">
        <v>41</v>
      </c>
      <c r="D1" s="43" t="s">
        <v>42</v>
      </c>
      <c r="E1" s="43" t="s">
        <v>43</v>
      </c>
      <c r="F1" s="43" t="s">
        <v>44</v>
      </c>
      <c r="G1" s="43" t="s">
        <v>45</v>
      </c>
      <c r="H1" s="43" t="s">
        <v>46</v>
      </c>
      <c r="I1" s="43" t="s">
        <v>47</v>
      </c>
      <c r="K1" s="43"/>
    </row>
    <row r="2" spans="1:11" ht="12.75">
      <c r="A2" s="43">
        <v>1</v>
      </c>
      <c r="B2" s="43" t="s">
        <v>48</v>
      </c>
      <c r="C2" s="49">
        <v>53.413</v>
      </c>
      <c r="D2" s="34">
        <v>53.413</v>
      </c>
      <c r="E2" s="50">
        <v>250000</v>
      </c>
      <c r="F2" s="51">
        <f>1654231.1802+17669.6809</f>
        <v>1671900.8611</v>
      </c>
      <c r="G2" s="43">
        <f aca="true" t="shared" si="0" ref="G2:G12">E2/F2</f>
        <v>0.14953039729611511</v>
      </c>
      <c r="H2" s="34">
        <f aca="true" t="shared" si="1" ref="H2:H7">D2-I2</f>
        <v>11.485</v>
      </c>
      <c r="I2" s="43">
        <v>41.928</v>
      </c>
      <c r="K2" s="52"/>
    </row>
    <row r="3" spans="1:11" ht="12.75">
      <c r="A3" s="43">
        <v>2</v>
      </c>
      <c r="B3" s="43" t="s">
        <v>48</v>
      </c>
      <c r="C3" s="49">
        <v>63.621</v>
      </c>
      <c r="D3" s="34">
        <v>63.621</v>
      </c>
      <c r="E3" s="50">
        <v>250000</v>
      </c>
      <c r="F3" s="51">
        <f>3877590.302-111930.2412-62988.7314</f>
        <v>3702671.3294</v>
      </c>
      <c r="G3" s="43">
        <f t="shared" si="0"/>
        <v>0.0675188202676664</v>
      </c>
      <c r="H3" s="34">
        <f t="shared" si="1"/>
        <v>22.36</v>
      </c>
      <c r="I3" s="43">
        <v>41.261</v>
      </c>
      <c r="K3" s="52"/>
    </row>
    <row r="4" spans="1:11" ht="12.75">
      <c r="A4" s="43">
        <v>3</v>
      </c>
      <c r="B4" s="43" t="s">
        <v>48</v>
      </c>
      <c r="C4" s="49">
        <v>66.192</v>
      </c>
      <c r="D4" s="34">
        <v>66.192</v>
      </c>
      <c r="E4" s="50">
        <v>250000</v>
      </c>
      <c r="F4" s="51">
        <f>3160453.4207</f>
        <v>3160453.4207</v>
      </c>
      <c r="G4" s="43">
        <f t="shared" si="0"/>
        <v>0.07910257381506612</v>
      </c>
      <c r="H4" s="34">
        <f t="shared" si="1"/>
        <v>22.678999999999995</v>
      </c>
      <c r="I4" s="43">
        <v>43.513</v>
      </c>
      <c r="K4" s="52"/>
    </row>
    <row r="5" spans="1:11" ht="12.75">
      <c r="A5" s="43">
        <v>4</v>
      </c>
      <c r="B5" s="43" t="s">
        <v>48</v>
      </c>
      <c r="C5" s="49">
        <v>61.798</v>
      </c>
      <c r="D5" s="34">
        <v>61.798</v>
      </c>
      <c r="E5" s="50">
        <v>62500</v>
      </c>
      <c r="F5" s="51">
        <v>260000</v>
      </c>
      <c r="G5" s="43">
        <f t="shared" si="0"/>
        <v>0.2403846153846154</v>
      </c>
      <c r="H5" s="34">
        <f t="shared" si="1"/>
        <v>21.511000000000003</v>
      </c>
      <c r="I5" s="43">
        <v>40.287</v>
      </c>
      <c r="K5" s="52"/>
    </row>
    <row r="6" spans="1:11" ht="12.75">
      <c r="A6" s="43">
        <v>5</v>
      </c>
      <c r="B6" s="43" t="s">
        <v>49</v>
      </c>
      <c r="C6" s="49">
        <v>57.661</v>
      </c>
      <c r="D6" s="34">
        <v>57.661</v>
      </c>
      <c r="E6" s="51">
        <f>483581.0073</f>
        <v>483581.0073</v>
      </c>
      <c r="F6" s="51">
        <f>483581.0073</f>
        <v>483581.0073</v>
      </c>
      <c r="G6" s="43">
        <f t="shared" si="0"/>
        <v>1</v>
      </c>
      <c r="H6" s="34">
        <f t="shared" si="1"/>
        <v>26.429000000000002</v>
      </c>
      <c r="I6" s="43">
        <v>31.232</v>
      </c>
      <c r="K6" s="52"/>
    </row>
    <row r="7" spans="1:11" ht="12.75">
      <c r="A7" s="43">
        <v>6</v>
      </c>
      <c r="B7" s="43" t="s">
        <v>49</v>
      </c>
      <c r="C7" s="49">
        <v>49.612</v>
      </c>
      <c r="D7" s="34">
        <v>49.612</v>
      </c>
      <c r="E7" s="51">
        <f>435781.4512</f>
        <v>435781.4512</v>
      </c>
      <c r="F7" s="51">
        <f>435781.4512</f>
        <v>435781.4512</v>
      </c>
      <c r="G7" s="43">
        <f t="shared" si="0"/>
        <v>1</v>
      </c>
      <c r="H7" s="34">
        <f t="shared" si="1"/>
        <v>24.826</v>
      </c>
      <c r="I7" s="43">
        <v>24.786</v>
      </c>
      <c r="K7" s="52"/>
    </row>
    <row r="8" spans="1:12" ht="12.75">
      <c r="A8" s="43">
        <v>7.1</v>
      </c>
      <c r="B8" s="43" t="s">
        <v>50</v>
      </c>
      <c r="C8" s="49">
        <v>41.255</v>
      </c>
      <c r="D8" s="73">
        <f>(C8+C9)/2</f>
        <v>48.6315</v>
      </c>
      <c r="E8" s="51">
        <f>1144759.2153/2</f>
        <v>572379.60765</v>
      </c>
      <c r="F8" s="51">
        <f>1144759.2153/2</f>
        <v>572379.60765</v>
      </c>
      <c r="G8" s="43">
        <f t="shared" si="0"/>
        <v>1</v>
      </c>
      <c r="H8" s="73">
        <f>D8-((I8+I9)/2)</f>
        <v>23.195500000000003</v>
      </c>
      <c r="I8" s="53">
        <v>26.044</v>
      </c>
      <c r="K8" s="52"/>
      <c r="L8" s="46"/>
    </row>
    <row r="9" spans="1:11" ht="12.75">
      <c r="A9" s="43">
        <v>7.2</v>
      </c>
      <c r="B9" s="43" t="s">
        <v>50</v>
      </c>
      <c r="C9" s="49">
        <v>56.008</v>
      </c>
      <c r="D9" s="74"/>
      <c r="E9" s="51">
        <f>1144759.2153/2</f>
        <v>572379.60765</v>
      </c>
      <c r="F9" s="51">
        <f>1144759.2153/2</f>
        <v>572379.60765</v>
      </c>
      <c r="G9" s="43">
        <f t="shared" si="0"/>
        <v>1</v>
      </c>
      <c r="H9" s="74"/>
      <c r="I9" s="53">
        <v>24.828</v>
      </c>
      <c r="K9" s="52"/>
    </row>
    <row r="10" spans="1:11" ht="12.75">
      <c r="A10" s="43">
        <v>8.1</v>
      </c>
      <c r="B10" s="43" t="s">
        <v>50</v>
      </c>
      <c r="C10" s="49">
        <v>53.402</v>
      </c>
      <c r="D10" s="73">
        <f>(C10+C11)/2</f>
        <v>51.054</v>
      </c>
      <c r="E10" s="51">
        <f>1133560.0151/2</f>
        <v>566780.00755</v>
      </c>
      <c r="F10" s="51">
        <f>1133560.0151/2</f>
        <v>566780.00755</v>
      </c>
      <c r="G10" s="43">
        <f t="shared" si="0"/>
        <v>1</v>
      </c>
      <c r="H10" s="73">
        <f>D10-((I10+I11)/2)</f>
        <v>23.279000000000003</v>
      </c>
      <c r="I10" s="53">
        <v>27.141</v>
      </c>
      <c r="K10" s="52"/>
    </row>
    <row r="11" spans="1:11" ht="12.75">
      <c r="A11" s="43">
        <v>8.2</v>
      </c>
      <c r="B11" s="43" t="s">
        <v>50</v>
      </c>
      <c r="C11" s="49">
        <v>48.706</v>
      </c>
      <c r="D11" s="74"/>
      <c r="E11" s="51">
        <f>1133560.0151/2</f>
        <v>566780.00755</v>
      </c>
      <c r="F11" s="51">
        <f>1133560.0151/2</f>
        <v>566780.00755</v>
      </c>
      <c r="G11" s="43">
        <f t="shared" si="0"/>
        <v>1</v>
      </c>
      <c r="H11" s="74"/>
      <c r="I11" s="53">
        <v>28.409</v>
      </c>
      <c r="J11" s="54"/>
      <c r="K11" s="52"/>
    </row>
    <row r="12" spans="1:11" ht="12.75">
      <c r="A12" s="43">
        <v>9</v>
      </c>
      <c r="B12" s="43" t="s">
        <v>48</v>
      </c>
      <c r="C12" s="49">
        <v>62.026</v>
      </c>
      <c r="D12" s="34">
        <v>62.026</v>
      </c>
      <c r="E12" s="50">
        <v>326387.1943</v>
      </c>
      <c r="F12" s="51">
        <v>760000</v>
      </c>
      <c r="G12" s="43">
        <f t="shared" si="0"/>
        <v>0.4294568346052631</v>
      </c>
      <c r="H12" s="34">
        <f>D12-I12</f>
        <v>23.123000000000005</v>
      </c>
      <c r="I12" s="43">
        <v>38.903</v>
      </c>
      <c r="J12" s="54"/>
      <c r="K12" s="52"/>
    </row>
    <row r="13" spans="1:13" ht="12.7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 t="s">
        <v>21</v>
      </c>
      <c r="L13" s="11" t="s">
        <v>22</v>
      </c>
      <c r="M13" s="11" t="s">
        <v>34</v>
      </c>
    </row>
    <row r="14" spans="1:20" ht="12.75">
      <c r="A14" s="43"/>
      <c r="B14" s="43"/>
      <c r="C14" s="43" t="s">
        <v>51</v>
      </c>
      <c r="D14" s="43" t="s">
        <v>52</v>
      </c>
      <c r="E14" s="43"/>
      <c r="F14" s="43"/>
      <c r="G14" s="43"/>
      <c r="H14" s="43"/>
      <c r="J14" s="54" t="s">
        <v>53</v>
      </c>
      <c r="K14" s="43" t="s">
        <v>54</v>
      </c>
      <c r="T14" s="11" t="s">
        <v>89</v>
      </c>
    </row>
    <row r="15" spans="1:20" ht="12.75">
      <c r="A15" s="43">
        <v>1</v>
      </c>
      <c r="C15" s="43">
        <f aca="true" t="shared" si="2" ref="C15:C21">(C2)/100</f>
        <v>0.53413</v>
      </c>
      <c r="D15" s="63">
        <v>0.28828</v>
      </c>
      <c r="E15" s="51">
        <f aca="true" t="shared" si="3" ref="E15:F19">E2</f>
        <v>250000</v>
      </c>
      <c r="F15" s="51">
        <f t="shared" si="3"/>
        <v>1671900.8611</v>
      </c>
      <c r="G15" s="43">
        <f aca="true" t="shared" si="4" ref="G15:G23">E15/F15</f>
        <v>0.14953039729611511</v>
      </c>
      <c r="H15" s="55">
        <f aca="true" t="shared" si="5" ref="H15:H21">(H2)/100</f>
        <v>0.11485</v>
      </c>
      <c r="I15" s="52">
        <f aca="true" t="shared" si="6" ref="I15:I21">I2</f>
        <v>41.928</v>
      </c>
      <c r="J15" s="56">
        <f>'[2]evolucao'!I6</f>
        <v>2563.2</v>
      </c>
      <c r="K15" s="57">
        <f aca="true" t="shared" si="7" ref="K15:K23">F15/10000</f>
        <v>167.19008611</v>
      </c>
      <c r="L15" s="46">
        <f aca="true" t="shared" si="8" ref="L15:L23">J15/K15</f>
        <v>15.33105257397609</v>
      </c>
      <c r="M15" s="37">
        <f>L15*$K$26</f>
        <v>67.99039055861604</v>
      </c>
      <c r="N15" s="11">
        <v>1</v>
      </c>
      <c r="O15" s="46">
        <f>+L15</f>
        <v>15.33105257397609</v>
      </c>
      <c r="P15" s="64">
        <f>+D15</f>
        <v>0.28828</v>
      </c>
      <c r="T15" s="11">
        <v>0.28828</v>
      </c>
    </row>
    <row r="16" spans="1:20" ht="12.75">
      <c r="A16" s="43">
        <v>2</v>
      </c>
      <c r="C16" s="43">
        <f t="shared" si="2"/>
        <v>0.63621</v>
      </c>
      <c r="D16" s="8">
        <v>0.31002</v>
      </c>
      <c r="E16" s="51">
        <f t="shared" si="3"/>
        <v>250000</v>
      </c>
      <c r="F16" s="51">
        <f t="shared" si="3"/>
        <v>3702671.3294</v>
      </c>
      <c r="G16" s="43">
        <f t="shared" si="4"/>
        <v>0.0675188202676664</v>
      </c>
      <c r="H16" s="55">
        <f t="shared" si="5"/>
        <v>0.2236</v>
      </c>
      <c r="I16" s="52">
        <f t="shared" si="6"/>
        <v>41.261</v>
      </c>
      <c r="J16" s="56">
        <f>'[2]evolucao'!I7</f>
        <v>4579</v>
      </c>
      <c r="K16" s="57">
        <f t="shared" si="7"/>
        <v>370.26713294</v>
      </c>
      <c r="L16" s="46">
        <f t="shared" si="8"/>
        <v>12.366747120225776</v>
      </c>
      <c r="M16" s="37">
        <f aca="true" t="shared" si="9" ref="M16:M23">L16*$K$26</f>
        <v>54.84424259760562</v>
      </c>
      <c r="N16" s="11">
        <f>+N15+1</f>
        <v>2</v>
      </c>
      <c r="O16" s="46">
        <f aca="true" t="shared" si="10" ref="O16:O23">+L16</f>
        <v>12.366747120225776</v>
      </c>
      <c r="P16" s="64">
        <f>+D16</f>
        <v>0.31002</v>
      </c>
      <c r="T16" s="11">
        <v>0.31002</v>
      </c>
    </row>
    <row r="17" spans="1:20" ht="12.75">
      <c r="A17" s="43">
        <v>3</v>
      </c>
      <c r="C17" s="43">
        <f t="shared" si="2"/>
        <v>0.66192</v>
      </c>
      <c r="D17" s="8">
        <v>0.40676</v>
      </c>
      <c r="E17" s="51">
        <f t="shared" si="3"/>
        <v>250000</v>
      </c>
      <c r="F17" s="51">
        <f t="shared" si="3"/>
        <v>3160453.4207</v>
      </c>
      <c r="G17" s="43">
        <f t="shared" si="4"/>
        <v>0.07910257381506612</v>
      </c>
      <c r="H17" s="55">
        <f t="shared" si="5"/>
        <v>0.22678999999999994</v>
      </c>
      <c r="I17" s="52">
        <f t="shared" si="6"/>
        <v>43.513</v>
      </c>
      <c r="J17" s="56">
        <f>'[2]evolucao'!I8</f>
        <v>5715</v>
      </c>
      <c r="K17" s="57">
        <f t="shared" si="7"/>
        <v>316.04534207</v>
      </c>
      <c r="L17" s="46">
        <f t="shared" si="8"/>
        <v>18.08284837412412</v>
      </c>
      <c r="M17" s="37">
        <f t="shared" si="9"/>
        <v>80.19409740045494</v>
      </c>
      <c r="N17" s="11">
        <f aca="true" t="shared" si="11" ref="N17:N23">+N16+1</f>
        <v>3</v>
      </c>
      <c r="O17" s="46">
        <f t="shared" si="10"/>
        <v>18.08284837412412</v>
      </c>
      <c r="P17" s="64">
        <f>+D17</f>
        <v>0.40676</v>
      </c>
      <c r="T17" s="11">
        <v>0.40676</v>
      </c>
    </row>
    <row r="18" spans="1:20" ht="12.75">
      <c r="A18" s="43">
        <v>4</v>
      </c>
      <c r="C18" s="43">
        <f t="shared" si="2"/>
        <v>0.61798</v>
      </c>
      <c r="D18" s="8">
        <v>0.37992</v>
      </c>
      <c r="E18" s="51">
        <f t="shared" si="3"/>
        <v>62500</v>
      </c>
      <c r="F18" s="51">
        <f t="shared" si="3"/>
        <v>260000</v>
      </c>
      <c r="G18" s="43">
        <f t="shared" si="4"/>
        <v>0.2403846153846154</v>
      </c>
      <c r="H18" s="55">
        <f t="shared" si="5"/>
        <v>0.21511000000000002</v>
      </c>
      <c r="I18" s="52">
        <f t="shared" si="6"/>
        <v>40.287</v>
      </c>
      <c r="J18" s="56">
        <f>'[2]evolucao'!I9</f>
        <v>949.6</v>
      </c>
      <c r="K18" s="57">
        <f t="shared" si="7"/>
        <v>26</v>
      </c>
      <c r="L18" s="46">
        <f t="shared" si="8"/>
        <v>36.52307692307692</v>
      </c>
      <c r="M18" s="37">
        <f t="shared" si="9"/>
        <v>161.9731099622964</v>
      </c>
      <c r="N18" s="11">
        <f t="shared" si="11"/>
        <v>4</v>
      </c>
      <c r="O18" s="46">
        <f t="shared" si="10"/>
        <v>36.52307692307692</v>
      </c>
      <c r="P18" s="64">
        <f>+Q18</f>
        <v>0.583</v>
      </c>
      <c r="Q18" s="11">
        <v>0.583</v>
      </c>
      <c r="T18" s="11">
        <v>0.37992</v>
      </c>
    </row>
    <row r="19" spans="1:20" ht="12.75">
      <c r="A19" s="43">
        <v>5</v>
      </c>
      <c r="C19" s="43">
        <f t="shared" si="2"/>
        <v>0.5766100000000001</v>
      </c>
      <c r="D19" s="8">
        <v>0.20607</v>
      </c>
      <c r="E19" s="51">
        <f t="shared" si="3"/>
        <v>483581.0073</v>
      </c>
      <c r="F19" s="51">
        <f t="shared" si="3"/>
        <v>483581.0073</v>
      </c>
      <c r="G19" s="43">
        <f t="shared" si="4"/>
        <v>1</v>
      </c>
      <c r="H19" s="55">
        <f t="shared" si="5"/>
        <v>0.26429</v>
      </c>
      <c r="I19" s="52">
        <f t="shared" si="6"/>
        <v>31.232</v>
      </c>
      <c r="J19" s="56">
        <f>'[2]evolucao'!I10</f>
        <v>456.6</v>
      </c>
      <c r="K19" s="57">
        <f t="shared" si="7"/>
        <v>48.35810073</v>
      </c>
      <c r="L19" s="46">
        <f t="shared" si="8"/>
        <v>9.442058168275793</v>
      </c>
      <c r="M19" s="37">
        <f t="shared" si="9"/>
        <v>41.87378651534739</v>
      </c>
      <c r="N19" s="11">
        <f t="shared" si="11"/>
        <v>5</v>
      </c>
      <c r="O19" s="46">
        <f t="shared" si="10"/>
        <v>9.442058168275793</v>
      </c>
      <c r="P19" s="64">
        <f>+D19</f>
        <v>0.20607</v>
      </c>
      <c r="T19" s="11">
        <v>0.20607</v>
      </c>
    </row>
    <row r="20" spans="1:20" ht="12.75">
      <c r="A20" s="43">
        <v>6</v>
      </c>
      <c r="C20" s="43">
        <f t="shared" si="2"/>
        <v>0.49612</v>
      </c>
      <c r="D20" s="9">
        <v>0.2529626695863474</v>
      </c>
      <c r="E20" s="51">
        <f>E7</f>
        <v>435781.4512</v>
      </c>
      <c r="F20" s="51">
        <f>E20</f>
        <v>435781.4512</v>
      </c>
      <c r="G20" s="43">
        <f t="shared" si="4"/>
        <v>1</v>
      </c>
      <c r="H20" s="55">
        <f t="shared" si="5"/>
        <v>0.24826</v>
      </c>
      <c r="I20" s="52">
        <f t="shared" si="6"/>
        <v>24.786</v>
      </c>
      <c r="J20" s="56">
        <f>'[2]evolucao'!I11</f>
        <v>604.8</v>
      </c>
      <c r="K20" s="57">
        <f t="shared" si="7"/>
        <v>43.57814512</v>
      </c>
      <c r="L20" s="46">
        <f t="shared" si="8"/>
        <v>13.878516360312675</v>
      </c>
      <c r="M20" s="37">
        <f t="shared" si="9"/>
        <v>61.548660351836375</v>
      </c>
      <c r="N20" s="11">
        <f t="shared" si="11"/>
        <v>6</v>
      </c>
      <c r="O20" s="46">
        <f t="shared" si="10"/>
        <v>13.878516360312675</v>
      </c>
      <c r="P20" s="64">
        <f>+D20</f>
        <v>0.2529626695863474</v>
      </c>
      <c r="T20" s="11">
        <v>0.2529626695863474</v>
      </c>
    </row>
    <row r="21" spans="1:20" ht="12.75">
      <c r="A21" s="43">
        <v>7</v>
      </c>
      <c r="C21" s="43">
        <f t="shared" si="2"/>
        <v>0.41255000000000003</v>
      </c>
      <c r="D21" s="9">
        <f>(0.41255+0.28372)/2</f>
        <v>0.348135</v>
      </c>
      <c r="E21" s="51">
        <f>E8</f>
        <v>572379.60765</v>
      </c>
      <c r="F21" s="51">
        <f>F8+F9</f>
        <v>1144759.2153</v>
      </c>
      <c r="G21" s="43">
        <f t="shared" si="4"/>
        <v>0.5</v>
      </c>
      <c r="H21" s="55">
        <f t="shared" si="5"/>
        <v>0.23195500000000002</v>
      </c>
      <c r="I21" s="52">
        <f t="shared" si="6"/>
        <v>26.044</v>
      </c>
      <c r="J21" s="56">
        <f>'[2]evolucao'!I12</f>
        <v>2295.6</v>
      </c>
      <c r="K21" s="57">
        <f t="shared" si="7"/>
        <v>114.47592153000001</v>
      </c>
      <c r="L21" s="46">
        <f t="shared" si="8"/>
        <v>20.0531253150769</v>
      </c>
      <c r="M21" s="37">
        <f t="shared" si="9"/>
        <v>88.93191224243174</v>
      </c>
      <c r="N21" s="11">
        <f t="shared" si="11"/>
        <v>7</v>
      </c>
      <c r="O21" s="46">
        <f t="shared" si="10"/>
        <v>20.0531253150769</v>
      </c>
      <c r="P21" s="64">
        <f>+Q21/2+R21/2</f>
        <v>0.49524999999999997</v>
      </c>
      <c r="Q21" s="11">
        <v>0.517</v>
      </c>
      <c r="R21" s="11">
        <v>0.4735</v>
      </c>
      <c r="T21" s="11">
        <v>0.348135</v>
      </c>
    </row>
    <row r="22" spans="1:20" ht="12.75">
      <c r="A22" s="43">
        <v>8</v>
      </c>
      <c r="C22" s="43">
        <f>(C10)/100</f>
        <v>0.53402</v>
      </c>
      <c r="D22" s="8">
        <v>0.33948</v>
      </c>
      <c r="E22" s="51">
        <f>E9</f>
        <v>572379.60765</v>
      </c>
      <c r="F22" s="51">
        <f>F10+F11</f>
        <v>1133560.0151</v>
      </c>
      <c r="G22" s="43">
        <f t="shared" si="4"/>
        <v>0.5049398355847141</v>
      </c>
      <c r="H22" s="55">
        <f>(H10)/100</f>
        <v>0.23279000000000002</v>
      </c>
      <c r="I22" s="52">
        <f>I10</f>
        <v>27.141</v>
      </c>
      <c r="J22" s="56">
        <f>'[2]evolucao'!I13</f>
        <v>2515.2</v>
      </c>
      <c r="K22" s="57">
        <f t="shared" si="7"/>
        <v>113.35600151</v>
      </c>
      <c r="L22" s="46">
        <f t="shared" si="8"/>
        <v>22.18850318020537</v>
      </c>
      <c r="M22" s="37">
        <f t="shared" si="9"/>
        <v>98.40191923247721</v>
      </c>
      <c r="N22" s="11">
        <f t="shared" si="11"/>
        <v>8</v>
      </c>
      <c r="O22" s="46">
        <f t="shared" si="10"/>
        <v>22.18850318020537</v>
      </c>
      <c r="P22" s="64">
        <f>+Q22</f>
        <v>0.5521</v>
      </c>
      <c r="Q22" s="11">
        <v>0.5521</v>
      </c>
      <c r="T22" s="11">
        <v>0.33948</v>
      </c>
    </row>
    <row r="23" spans="1:20" ht="12.75">
      <c r="A23" s="43">
        <v>9</v>
      </c>
      <c r="C23" s="43">
        <f>(C12)/100</f>
        <v>0.62026</v>
      </c>
      <c r="D23" s="8">
        <v>0.40716</v>
      </c>
      <c r="E23" s="51">
        <f>E10</f>
        <v>566780.00755</v>
      </c>
      <c r="F23" s="51">
        <f>F12</f>
        <v>760000</v>
      </c>
      <c r="G23" s="43">
        <f t="shared" si="4"/>
        <v>0.7457631678289474</v>
      </c>
      <c r="H23" s="55">
        <f>(H12)/100</f>
        <v>0.23123000000000005</v>
      </c>
      <c r="I23" s="52">
        <f>I12</f>
        <v>38.903</v>
      </c>
      <c r="J23" s="56">
        <f>'[2]evolucao'!I14</f>
        <v>3921</v>
      </c>
      <c r="K23" s="57">
        <f t="shared" si="7"/>
        <v>76</v>
      </c>
      <c r="L23" s="46">
        <f t="shared" si="8"/>
        <v>51.5921052631579</v>
      </c>
      <c r="M23" s="37">
        <f t="shared" si="9"/>
        <v>228.80147137044227</v>
      </c>
      <c r="N23" s="11">
        <f t="shared" si="11"/>
        <v>9</v>
      </c>
      <c r="O23" s="46">
        <f t="shared" si="10"/>
        <v>51.5921052631579</v>
      </c>
      <c r="P23" s="64">
        <f>+Q23</f>
        <v>0.5266</v>
      </c>
      <c r="Q23" s="41">
        <v>0.5266</v>
      </c>
      <c r="T23" s="11">
        <v>0.40716</v>
      </c>
    </row>
    <row r="24" spans="1:10" ht="12.75">
      <c r="A24" s="43"/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12.75">
      <c r="A25" s="43"/>
      <c r="B25" s="43"/>
      <c r="C25" s="43" t="s">
        <v>55</v>
      </c>
      <c r="D25" s="43"/>
      <c r="E25" s="11" t="s">
        <v>34</v>
      </c>
      <c r="F25" s="43" t="s">
        <v>22</v>
      </c>
      <c r="G25" s="43"/>
      <c r="H25" s="43"/>
      <c r="I25" s="43"/>
      <c r="J25" s="43"/>
    </row>
    <row r="26" spans="1:12" ht="12.75">
      <c r="A26" s="43"/>
      <c r="B26" s="43"/>
      <c r="C26" s="43" t="s">
        <v>28</v>
      </c>
      <c r="D26" s="43"/>
      <c r="E26" s="49">
        <f>F26*$K$26</f>
        <v>44.348155634158665</v>
      </c>
      <c r="F26" s="52">
        <v>10</v>
      </c>
      <c r="G26" s="55">
        <f aca="true" t="shared" si="12" ref="G26:G34">$D$27*($D$28-EXP(-$D$29*F26))/100</f>
        <v>0.2246540260138414</v>
      </c>
      <c r="H26" s="55"/>
      <c r="I26" s="43"/>
      <c r="J26" s="43"/>
      <c r="K26" s="37">
        <f>35106/7916</f>
        <v>4.434815563415866</v>
      </c>
      <c r="L26" s="11" t="s">
        <v>17</v>
      </c>
    </row>
    <row r="27" spans="1:10" ht="12.75">
      <c r="A27" s="43"/>
      <c r="B27" s="43"/>
      <c r="C27" s="43" t="s">
        <v>29</v>
      </c>
      <c r="D27" s="58">
        <v>68.847235</v>
      </c>
      <c r="E27" s="49">
        <f aca="true" t="shared" si="13" ref="E27:E34">F27*$K$26</f>
        <v>66.522233451238</v>
      </c>
      <c r="F27" s="52">
        <v>15</v>
      </c>
      <c r="G27" s="55">
        <f t="shared" si="12"/>
        <v>0.31041752382745585</v>
      </c>
      <c r="H27" s="55"/>
      <c r="I27" s="43"/>
      <c r="J27" s="43"/>
    </row>
    <row r="28" spans="3:8" ht="12.75">
      <c r="C28" s="11" t="s">
        <v>30</v>
      </c>
      <c r="D28" s="11">
        <v>0.57459964</v>
      </c>
      <c r="E28" s="49">
        <f t="shared" si="13"/>
        <v>88.69631126831733</v>
      </c>
      <c r="F28" s="52">
        <v>20</v>
      </c>
      <c r="G28" s="55">
        <f t="shared" si="12"/>
        <v>0.3531525078422488</v>
      </c>
      <c r="H28" s="55"/>
    </row>
    <row r="29" spans="3:8" ht="12.75">
      <c r="C29" s="11" t="s">
        <v>31</v>
      </c>
      <c r="D29" s="11">
        <v>0.13931512</v>
      </c>
      <c r="E29" s="49">
        <f t="shared" si="13"/>
        <v>110.87038908539665</v>
      </c>
      <c r="F29" s="52">
        <v>25</v>
      </c>
      <c r="G29" s="55">
        <f t="shared" si="12"/>
        <v>0.37444686855866416</v>
      </c>
      <c r="H29" s="55"/>
    </row>
    <row r="30" spans="5:8" ht="12.75">
      <c r="E30" s="49">
        <f t="shared" si="13"/>
        <v>133.044466902476</v>
      </c>
      <c r="F30" s="52">
        <v>30</v>
      </c>
      <c r="G30" s="55">
        <f t="shared" si="12"/>
        <v>0.3850576084190991</v>
      </c>
      <c r="H30" s="55"/>
    </row>
    <row r="31" spans="5:8" ht="12.75">
      <c r="E31" s="49">
        <f t="shared" si="13"/>
        <v>155.21854471955533</v>
      </c>
      <c r="F31" s="52">
        <v>35</v>
      </c>
      <c r="G31" s="55">
        <f t="shared" si="12"/>
        <v>0.39034482046012714</v>
      </c>
      <c r="H31" s="55"/>
    </row>
    <row r="32" spans="5:8" ht="12.75">
      <c r="E32" s="49">
        <f t="shared" si="13"/>
        <v>177.39262253663466</v>
      </c>
      <c r="F32" s="52">
        <v>40</v>
      </c>
      <c r="G32" s="55">
        <f t="shared" si="12"/>
        <v>0.39297937860918014</v>
      </c>
      <c r="H32" s="55"/>
    </row>
    <row r="33" spans="5:8" ht="12.75">
      <c r="E33" s="49">
        <f t="shared" si="13"/>
        <v>199.566700353714</v>
      </c>
      <c r="F33" s="52">
        <v>45</v>
      </c>
      <c r="G33" s="55">
        <f t="shared" si="12"/>
        <v>0.3942921492313684</v>
      </c>
      <c r="H33" s="55"/>
    </row>
    <row r="34" spans="5:8" ht="12.75">
      <c r="E34" s="49">
        <f t="shared" si="13"/>
        <v>221.7407781707933</v>
      </c>
      <c r="F34" s="52">
        <v>50</v>
      </c>
      <c r="G34" s="55">
        <f t="shared" si="12"/>
        <v>0.39494628803149323</v>
      </c>
      <c r="H34" s="55"/>
    </row>
    <row r="35" ht="12.75">
      <c r="F35" s="52"/>
    </row>
    <row r="36" ht="12.75">
      <c r="F36" s="52"/>
    </row>
  </sheetData>
  <mergeCells count="4">
    <mergeCell ref="H10:H11"/>
    <mergeCell ref="D8:D9"/>
    <mergeCell ref="D10:D11"/>
    <mergeCell ref="H8:H9"/>
  </mergeCells>
  <printOptions/>
  <pageMargins left="0.75" right="0.75" top="1" bottom="1" header="0.492125985" footer="0.49212598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D1">
      <selection activeCell="K3" sqref="K3"/>
    </sheetView>
  </sheetViews>
  <sheetFormatPr defaultColWidth="9.140625" defaultRowHeight="12.75"/>
  <cols>
    <col min="1" max="5" width="9.140625" style="11" customWidth="1"/>
    <col min="6" max="6" width="14.00390625" style="0" customWidth="1"/>
    <col min="7" max="7" width="13.57421875" style="0" bestFit="1" customWidth="1"/>
    <col min="8" max="8" width="16.7109375" style="0" bestFit="1" customWidth="1"/>
  </cols>
  <sheetData>
    <row r="1" spans="1:8" ht="12.75">
      <c r="A1" s="11" t="s">
        <v>34</v>
      </c>
      <c r="B1" s="11" t="s">
        <v>26</v>
      </c>
      <c r="C1" s="11" t="s">
        <v>35</v>
      </c>
      <c r="F1" s="75" t="s">
        <v>56</v>
      </c>
      <c r="G1" s="75"/>
      <c r="H1" s="75"/>
    </row>
    <row r="2" spans="1:11" ht="12.75">
      <c r="A2" s="11">
        <v>14.18</v>
      </c>
      <c r="B2" s="11">
        <f aca="true" t="shared" si="0" ref="B2:B19">A2/$B$21</f>
        <v>3.151111111111111</v>
      </c>
      <c r="C2" s="12">
        <v>0.0467</v>
      </c>
      <c r="F2" s="59" t="s">
        <v>57</v>
      </c>
      <c r="G2" s="59" t="s">
        <v>2</v>
      </c>
      <c r="H2" s="59" t="s">
        <v>58</v>
      </c>
      <c r="J2" t="s">
        <v>16</v>
      </c>
      <c r="K2">
        <v>4.85</v>
      </c>
    </row>
    <row r="3" spans="1:12" ht="12.75">
      <c r="A3" s="11">
        <v>24.33</v>
      </c>
      <c r="B3" s="11">
        <f t="shared" si="0"/>
        <v>5.406666666666666</v>
      </c>
      <c r="C3" s="12">
        <v>0.09880000000000001</v>
      </c>
      <c r="F3" s="59" t="s">
        <v>59</v>
      </c>
      <c r="G3" s="59">
        <v>37.8</v>
      </c>
      <c r="H3" s="59">
        <v>71.4</v>
      </c>
      <c r="K3">
        <f>+H3/$K$2</f>
        <v>14.721649484536085</v>
      </c>
      <c r="L3">
        <f>+G3/100</f>
        <v>0.37799999999999995</v>
      </c>
    </row>
    <row r="4" spans="1:12" ht="12.75">
      <c r="A4" s="11">
        <v>32.52</v>
      </c>
      <c r="B4" s="11">
        <f t="shared" si="0"/>
        <v>7.2266666666666675</v>
      </c>
      <c r="C4" s="12">
        <v>0.1435</v>
      </c>
      <c r="F4" s="59" t="s">
        <v>60</v>
      </c>
      <c r="G4" s="59">
        <v>45</v>
      </c>
      <c r="H4" s="59">
        <v>88.1</v>
      </c>
      <c r="K4">
        <f aca="true" t="shared" si="1" ref="K4:K13">+H4/$K$2</f>
        <v>18.164948453608247</v>
      </c>
      <c r="L4">
        <f aca="true" t="shared" si="2" ref="L4:L13">+G4/100</f>
        <v>0.45</v>
      </c>
    </row>
    <row r="5" spans="1:12" ht="12.75">
      <c r="A5" s="11">
        <v>43.24</v>
      </c>
      <c r="B5" s="11">
        <f t="shared" si="0"/>
        <v>9.60888888888889</v>
      </c>
      <c r="C5" s="12">
        <v>0.20190000000000002</v>
      </c>
      <c r="F5" s="59" t="s">
        <v>61</v>
      </c>
      <c r="G5" s="59">
        <v>27.4</v>
      </c>
      <c r="H5" s="59">
        <v>58.3</v>
      </c>
      <c r="K5">
        <f t="shared" si="1"/>
        <v>12.02061855670103</v>
      </c>
      <c r="L5">
        <f t="shared" si="2"/>
        <v>0.27399999999999997</v>
      </c>
    </row>
    <row r="6" spans="1:12" ht="12.75">
      <c r="A6" s="11">
        <v>51.42</v>
      </c>
      <c r="B6" s="11">
        <f t="shared" si="0"/>
        <v>11.426666666666668</v>
      </c>
      <c r="C6" s="12">
        <v>0.24559999999999998</v>
      </c>
      <c r="F6" s="59" t="s">
        <v>62</v>
      </c>
      <c r="G6" s="59">
        <v>24.4</v>
      </c>
      <c r="H6" s="59">
        <v>44.9</v>
      </c>
      <c r="K6">
        <f t="shared" si="1"/>
        <v>9.257731958762887</v>
      </c>
      <c r="L6">
        <f t="shared" si="2"/>
        <v>0.244</v>
      </c>
    </row>
    <row r="7" spans="1:12" ht="12.75">
      <c r="A7" s="11">
        <v>62.71</v>
      </c>
      <c r="B7" s="11">
        <f t="shared" si="0"/>
        <v>13.935555555555556</v>
      </c>
      <c r="C7" s="12">
        <v>0.3071</v>
      </c>
      <c r="F7" s="59" t="s">
        <v>63</v>
      </c>
      <c r="G7" s="59">
        <v>44.6</v>
      </c>
      <c r="H7" s="59">
        <v>82.3</v>
      </c>
      <c r="K7">
        <f t="shared" si="1"/>
        <v>16.969072164948454</v>
      </c>
      <c r="L7">
        <f t="shared" si="2"/>
        <v>0.446</v>
      </c>
    </row>
    <row r="8" spans="1:12" ht="12.75">
      <c r="A8" s="11">
        <v>69.76</v>
      </c>
      <c r="B8" s="11">
        <f t="shared" si="0"/>
        <v>15.502222222222223</v>
      </c>
      <c r="C8" s="12">
        <v>0.3467</v>
      </c>
      <c r="F8" s="59" t="s">
        <v>64</v>
      </c>
      <c r="G8" s="59">
        <v>58.9</v>
      </c>
      <c r="H8" s="59">
        <v>110.5</v>
      </c>
      <c r="K8">
        <f t="shared" si="1"/>
        <v>22.783505154639176</v>
      </c>
      <c r="L8">
        <f t="shared" si="2"/>
        <v>0.589</v>
      </c>
    </row>
    <row r="9" spans="1:12" ht="12.75">
      <c r="A9" s="11">
        <v>79.36</v>
      </c>
      <c r="B9" s="11">
        <f t="shared" si="0"/>
        <v>17.635555555555555</v>
      </c>
      <c r="C9" s="12">
        <v>0.3935</v>
      </c>
      <c r="F9" s="59" t="s">
        <v>65</v>
      </c>
      <c r="G9" s="59">
        <v>41.7</v>
      </c>
      <c r="H9" s="59">
        <v>82.2</v>
      </c>
      <c r="K9">
        <f t="shared" si="1"/>
        <v>16.948453608247423</v>
      </c>
      <c r="L9">
        <f t="shared" si="2"/>
        <v>0.41700000000000004</v>
      </c>
    </row>
    <row r="10" spans="1:12" ht="12.75">
      <c r="A10" s="11">
        <v>87.82</v>
      </c>
      <c r="B10" s="11">
        <f t="shared" si="0"/>
        <v>19.515555555555554</v>
      </c>
      <c r="C10" s="12">
        <v>0.4435</v>
      </c>
      <c r="F10" s="59" t="s">
        <v>66</v>
      </c>
      <c r="G10" s="59">
        <v>64.7</v>
      </c>
      <c r="H10" s="59">
        <v>141.8</v>
      </c>
      <c r="K10">
        <f t="shared" si="1"/>
        <v>29.23711340206186</v>
      </c>
      <c r="L10">
        <f t="shared" si="2"/>
        <v>0.647</v>
      </c>
    </row>
    <row r="11" spans="1:12" ht="12.75">
      <c r="A11" s="11">
        <v>95.44</v>
      </c>
      <c r="B11" s="11">
        <f t="shared" si="0"/>
        <v>21.20888888888889</v>
      </c>
      <c r="C11" s="12">
        <v>0.4842</v>
      </c>
      <c r="F11" s="59" t="s">
        <v>67</v>
      </c>
      <c r="G11" s="59">
        <v>30</v>
      </c>
      <c r="H11" s="59">
        <v>62.5</v>
      </c>
      <c r="K11">
        <f t="shared" si="1"/>
        <v>12.88659793814433</v>
      </c>
      <c r="L11">
        <f t="shared" si="2"/>
        <v>0.3</v>
      </c>
    </row>
    <row r="12" spans="1:12" ht="12.75">
      <c r="A12" s="11">
        <v>101.37</v>
      </c>
      <c r="B12" s="11">
        <f t="shared" si="0"/>
        <v>22.526666666666667</v>
      </c>
      <c r="C12" s="12">
        <v>0.5133</v>
      </c>
      <c r="F12" s="59" t="s">
        <v>68</v>
      </c>
      <c r="G12" s="59">
        <v>61.5</v>
      </c>
      <c r="H12" s="59">
        <v>124.5</v>
      </c>
      <c r="K12">
        <f t="shared" si="1"/>
        <v>25.670103092783506</v>
      </c>
      <c r="L12">
        <f t="shared" si="2"/>
        <v>0.615</v>
      </c>
    </row>
    <row r="13" spans="1:12" ht="12.75">
      <c r="A13" s="11">
        <v>109.83</v>
      </c>
      <c r="B13" s="11">
        <f t="shared" si="0"/>
        <v>24.406666666666666</v>
      </c>
      <c r="C13" s="12">
        <v>0.5488000000000001</v>
      </c>
      <c r="F13" s="59" t="s">
        <v>69</v>
      </c>
      <c r="G13" s="59">
        <v>59.6</v>
      </c>
      <c r="H13" s="59">
        <v>117.3</v>
      </c>
      <c r="K13">
        <f t="shared" si="1"/>
        <v>24.18556701030928</v>
      </c>
      <c r="L13">
        <f t="shared" si="2"/>
        <v>0.596</v>
      </c>
    </row>
    <row r="14" spans="1:6" ht="12.75">
      <c r="A14" s="11">
        <v>118.86</v>
      </c>
      <c r="B14" s="11">
        <f t="shared" si="0"/>
        <v>26.413333333333334</v>
      </c>
      <c r="C14" s="12">
        <v>0.5748</v>
      </c>
      <c r="F14" t="s">
        <v>70</v>
      </c>
    </row>
    <row r="15" spans="1:3" ht="12.75">
      <c r="A15" s="11">
        <v>129.3</v>
      </c>
      <c r="B15" s="11">
        <f t="shared" si="0"/>
        <v>28.733333333333334</v>
      </c>
      <c r="C15" s="12">
        <v>0.5915</v>
      </c>
    </row>
    <row r="16" spans="1:8" ht="12.75">
      <c r="A16" s="11">
        <v>143.41</v>
      </c>
      <c r="B16" s="11">
        <f t="shared" si="0"/>
        <v>31.86888888888889</v>
      </c>
      <c r="C16" s="12">
        <v>0.6019</v>
      </c>
      <c r="F16" s="75" t="s">
        <v>71</v>
      </c>
      <c r="G16" s="75"/>
      <c r="H16" s="75"/>
    </row>
    <row r="17" spans="1:14" ht="12.75">
      <c r="A17" s="11">
        <v>158.08</v>
      </c>
      <c r="B17" s="11">
        <f t="shared" si="0"/>
        <v>35.128888888888895</v>
      </c>
      <c r="C17" s="12">
        <v>0.6113000000000001</v>
      </c>
      <c r="F17" s="59" t="s">
        <v>57</v>
      </c>
      <c r="G17" s="59" t="s">
        <v>2</v>
      </c>
      <c r="H17" s="59" t="s">
        <v>58</v>
      </c>
      <c r="K17" t="s">
        <v>34</v>
      </c>
      <c r="L17" t="s">
        <v>35</v>
      </c>
      <c r="M17" t="s">
        <v>26</v>
      </c>
      <c r="N17" t="s">
        <v>88</v>
      </c>
    </row>
    <row r="18" spans="1:14" ht="12.75">
      <c r="A18" s="11">
        <v>179.24</v>
      </c>
      <c r="B18" s="11">
        <f t="shared" si="0"/>
        <v>39.83111111111111</v>
      </c>
      <c r="C18" s="12">
        <v>0.6185</v>
      </c>
      <c r="F18" s="59" t="s">
        <v>72</v>
      </c>
      <c r="G18" s="59">
        <v>46.3</v>
      </c>
      <c r="H18" s="60" t="s">
        <v>73</v>
      </c>
      <c r="K18">
        <v>9.72</v>
      </c>
      <c r="L18">
        <v>15.41</v>
      </c>
      <c r="M18">
        <f>+K18/$K$2</f>
        <v>2.0041237113402066</v>
      </c>
      <c r="N18">
        <f>+L18/100</f>
        <v>0.15410000000000001</v>
      </c>
    </row>
    <row r="19" spans="1:14" ht="12.75">
      <c r="A19" s="11">
        <v>196.17</v>
      </c>
      <c r="B19" s="11">
        <f t="shared" si="0"/>
        <v>43.593333333333334</v>
      </c>
      <c r="C19" s="12">
        <v>0.6258</v>
      </c>
      <c r="F19" s="59" t="s">
        <v>74</v>
      </c>
      <c r="G19" s="59">
        <v>57.9</v>
      </c>
      <c r="H19" s="60" t="s">
        <v>73</v>
      </c>
      <c r="K19">
        <v>11.75</v>
      </c>
      <c r="L19">
        <v>13.8</v>
      </c>
      <c r="M19">
        <f aca="true" t="shared" si="3" ref="M19:M57">+K19/$K$2</f>
        <v>2.4226804123711343</v>
      </c>
      <c r="N19">
        <f aca="true" t="shared" si="4" ref="N19:N57">+L19/100</f>
        <v>0.138</v>
      </c>
    </row>
    <row r="20" spans="6:14" ht="12.75">
      <c r="F20" s="59" t="s">
        <v>75</v>
      </c>
      <c r="G20" s="59">
        <v>36.4</v>
      </c>
      <c r="H20" s="60" t="s">
        <v>76</v>
      </c>
      <c r="K20">
        <v>26.84</v>
      </c>
      <c r="L20">
        <v>7.97</v>
      </c>
      <c r="M20">
        <f t="shared" si="3"/>
        <v>5.534020618556702</v>
      </c>
      <c r="N20">
        <f t="shared" si="4"/>
        <v>0.0797</v>
      </c>
    </row>
    <row r="21" spans="1:14" ht="12.75">
      <c r="A21" s="11" t="s">
        <v>16</v>
      </c>
      <c r="B21" s="11">
        <v>4.5</v>
      </c>
      <c r="F21" s="59" t="s">
        <v>77</v>
      </c>
      <c r="G21" s="59">
        <v>22</v>
      </c>
      <c r="H21" s="60" t="s">
        <v>78</v>
      </c>
      <c r="K21">
        <v>21.62</v>
      </c>
      <c r="L21">
        <v>5.38</v>
      </c>
      <c r="M21">
        <f t="shared" si="3"/>
        <v>4.457731958762887</v>
      </c>
      <c r="N21">
        <f t="shared" si="4"/>
        <v>0.0538</v>
      </c>
    </row>
    <row r="22" spans="6:14" ht="12.75">
      <c r="F22" s="59" t="s">
        <v>79</v>
      </c>
      <c r="G22" s="59">
        <v>24.3</v>
      </c>
      <c r="H22" s="60" t="s">
        <v>78</v>
      </c>
      <c r="K22">
        <v>34.68</v>
      </c>
      <c r="L22">
        <v>10.56</v>
      </c>
      <c r="M22">
        <f t="shared" si="3"/>
        <v>7.150515463917526</v>
      </c>
      <c r="N22">
        <f t="shared" si="4"/>
        <v>0.1056</v>
      </c>
    </row>
    <row r="23" spans="6:14" ht="12.75">
      <c r="F23" s="59" t="s">
        <v>80</v>
      </c>
      <c r="G23" s="59">
        <v>21.7</v>
      </c>
      <c r="H23" s="60" t="s">
        <v>78</v>
      </c>
      <c r="K23">
        <v>28.59</v>
      </c>
      <c r="L23">
        <v>13.36</v>
      </c>
      <c r="M23">
        <f t="shared" si="3"/>
        <v>5.894845360824743</v>
      </c>
      <c r="N23">
        <f t="shared" si="4"/>
        <v>0.1336</v>
      </c>
    </row>
    <row r="24" spans="6:14" ht="12.75">
      <c r="F24" s="59" t="s">
        <v>81</v>
      </c>
      <c r="G24" s="59">
        <v>32.6</v>
      </c>
      <c r="H24" s="60" t="s">
        <v>82</v>
      </c>
      <c r="K24">
        <v>35.55</v>
      </c>
      <c r="L24">
        <v>17.36</v>
      </c>
      <c r="M24">
        <f t="shared" si="3"/>
        <v>7.329896907216495</v>
      </c>
      <c r="N24">
        <f t="shared" si="4"/>
        <v>0.1736</v>
      </c>
    </row>
    <row r="25" spans="6:14" ht="12.75">
      <c r="F25" s="59" t="s">
        <v>83</v>
      </c>
      <c r="G25" s="59">
        <v>5.3</v>
      </c>
      <c r="H25" s="61" t="s">
        <v>87</v>
      </c>
      <c r="K25">
        <v>40.49</v>
      </c>
      <c r="L25">
        <v>15.63</v>
      </c>
      <c r="M25">
        <f t="shared" si="3"/>
        <v>8.348453608247423</v>
      </c>
      <c r="N25">
        <f t="shared" si="4"/>
        <v>0.1563</v>
      </c>
    </row>
    <row r="26" spans="6:14" ht="12.75">
      <c r="F26" s="59" t="s">
        <v>84</v>
      </c>
      <c r="G26" s="59">
        <v>14</v>
      </c>
      <c r="H26" s="60" t="s">
        <v>85</v>
      </c>
      <c r="K26">
        <v>43.39</v>
      </c>
      <c r="L26">
        <v>16.49</v>
      </c>
      <c r="M26">
        <f t="shared" si="3"/>
        <v>8.94639175257732</v>
      </c>
      <c r="N26">
        <f t="shared" si="4"/>
        <v>0.1649</v>
      </c>
    </row>
    <row r="27" spans="6:14" ht="12.75">
      <c r="F27" s="59" t="s">
        <v>86</v>
      </c>
      <c r="G27" s="59">
        <v>23.6</v>
      </c>
      <c r="H27" s="60" t="s">
        <v>82</v>
      </c>
      <c r="K27">
        <v>37.58</v>
      </c>
      <c r="L27">
        <v>28.79</v>
      </c>
      <c r="M27">
        <f t="shared" si="3"/>
        <v>7.748453608247423</v>
      </c>
      <c r="N27">
        <f t="shared" si="4"/>
        <v>0.2879</v>
      </c>
    </row>
    <row r="28" spans="6:14" ht="12.75">
      <c r="F28" t="s">
        <v>70</v>
      </c>
      <c r="K28">
        <v>60.8</v>
      </c>
      <c r="L28">
        <v>23.29</v>
      </c>
      <c r="M28">
        <f t="shared" si="3"/>
        <v>12.536082474226804</v>
      </c>
      <c r="N28">
        <f t="shared" si="4"/>
        <v>0.2329</v>
      </c>
    </row>
    <row r="29" spans="11:14" ht="12.75">
      <c r="K29">
        <v>43.97</v>
      </c>
      <c r="L29">
        <v>23.94</v>
      </c>
      <c r="M29">
        <f t="shared" si="3"/>
        <v>9.065979381443299</v>
      </c>
      <c r="N29">
        <f t="shared" si="4"/>
        <v>0.2394</v>
      </c>
    </row>
    <row r="30" spans="11:14" ht="12.75">
      <c r="K30">
        <v>53.55</v>
      </c>
      <c r="L30">
        <v>26.2</v>
      </c>
      <c r="M30">
        <f t="shared" si="3"/>
        <v>11.041237113402062</v>
      </c>
      <c r="N30">
        <f t="shared" si="4"/>
        <v>0.262</v>
      </c>
    </row>
    <row r="31" spans="11:14" ht="12.75">
      <c r="K31">
        <v>63.99</v>
      </c>
      <c r="L31">
        <v>25.02</v>
      </c>
      <c r="M31">
        <f t="shared" si="3"/>
        <v>13.193814432989692</v>
      </c>
      <c r="N31">
        <f t="shared" si="4"/>
        <v>0.2502</v>
      </c>
    </row>
    <row r="32" spans="11:14" ht="12.75">
      <c r="K32">
        <v>60.8</v>
      </c>
      <c r="L32">
        <v>26.63</v>
      </c>
      <c r="M32">
        <f t="shared" si="3"/>
        <v>12.536082474226804</v>
      </c>
      <c r="N32">
        <f t="shared" si="4"/>
        <v>0.2663</v>
      </c>
    </row>
    <row r="33" spans="11:14" ht="12.75">
      <c r="K33">
        <v>61.09</v>
      </c>
      <c r="L33">
        <v>32.25</v>
      </c>
      <c r="M33">
        <f t="shared" si="3"/>
        <v>12.595876288659795</v>
      </c>
      <c r="N33">
        <f t="shared" si="4"/>
        <v>0.3225</v>
      </c>
    </row>
    <row r="34" spans="11:14" ht="12.75">
      <c r="K34">
        <v>73.57</v>
      </c>
      <c r="L34">
        <v>38.18</v>
      </c>
      <c r="M34">
        <f t="shared" si="3"/>
        <v>15.169072164948453</v>
      </c>
      <c r="N34">
        <f t="shared" si="4"/>
        <v>0.3818</v>
      </c>
    </row>
    <row r="35" spans="11:14" ht="12.75">
      <c r="K35">
        <v>72.99</v>
      </c>
      <c r="L35">
        <v>40.98</v>
      </c>
      <c r="M35">
        <f t="shared" si="3"/>
        <v>15.049484536082474</v>
      </c>
      <c r="N35">
        <f t="shared" si="4"/>
        <v>0.40979999999999994</v>
      </c>
    </row>
    <row r="36" spans="11:14" ht="12.75">
      <c r="K36">
        <v>93.02</v>
      </c>
      <c r="L36">
        <v>35.7</v>
      </c>
      <c r="M36">
        <f t="shared" si="3"/>
        <v>19.17938144329897</v>
      </c>
      <c r="N36">
        <f t="shared" si="4"/>
        <v>0.35700000000000004</v>
      </c>
    </row>
    <row r="37" spans="11:14" ht="12.75">
      <c r="K37">
        <v>80.83</v>
      </c>
      <c r="L37">
        <v>36.24</v>
      </c>
      <c r="M37">
        <f t="shared" si="3"/>
        <v>16.6659793814433</v>
      </c>
      <c r="N37">
        <f t="shared" si="4"/>
        <v>0.3624</v>
      </c>
    </row>
    <row r="38" spans="11:14" ht="12.75">
      <c r="K38">
        <v>94.47</v>
      </c>
      <c r="L38">
        <v>39.91</v>
      </c>
      <c r="M38">
        <f t="shared" si="3"/>
        <v>19.47835051546392</v>
      </c>
      <c r="N38">
        <f t="shared" si="4"/>
        <v>0.39909999999999995</v>
      </c>
    </row>
    <row r="39" spans="11:14" ht="12.75">
      <c r="K39">
        <v>93.6</v>
      </c>
      <c r="L39">
        <v>43.47</v>
      </c>
      <c r="M39">
        <f t="shared" si="3"/>
        <v>19.298969072164947</v>
      </c>
      <c r="N39">
        <f t="shared" si="4"/>
        <v>0.4347</v>
      </c>
    </row>
    <row r="40" spans="11:14" ht="12.75">
      <c r="K40">
        <v>98.24</v>
      </c>
      <c r="L40">
        <v>46.38</v>
      </c>
      <c r="M40">
        <f t="shared" si="3"/>
        <v>20.255670103092783</v>
      </c>
      <c r="N40">
        <f t="shared" si="4"/>
        <v>0.46380000000000005</v>
      </c>
    </row>
    <row r="41" spans="11:14" ht="12.75">
      <c r="K41">
        <v>87.21</v>
      </c>
      <c r="L41">
        <v>46.81</v>
      </c>
      <c r="M41">
        <f t="shared" si="3"/>
        <v>17.981443298969072</v>
      </c>
      <c r="N41">
        <f t="shared" si="4"/>
        <v>0.4681</v>
      </c>
    </row>
    <row r="42" spans="11:14" ht="12.75">
      <c r="K42">
        <v>84.89</v>
      </c>
      <c r="L42">
        <v>44.87</v>
      </c>
      <c r="M42">
        <f t="shared" si="3"/>
        <v>17.503092783505156</v>
      </c>
      <c r="N42">
        <f t="shared" si="4"/>
        <v>0.4487</v>
      </c>
    </row>
    <row r="43" spans="11:14" ht="12.75">
      <c r="K43">
        <v>96.79</v>
      </c>
      <c r="L43">
        <v>50.91</v>
      </c>
      <c r="M43">
        <f t="shared" si="3"/>
        <v>19.95670103092784</v>
      </c>
      <c r="N43">
        <f t="shared" si="4"/>
        <v>0.5091</v>
      </c>
    </row>
    <row r="44" spans="11:14" ht="12.75">
      <c r="K44">
        <v>115.08</v>
      </c>
      <c r="L44">
        <v>50.05</v>
      </c>
      <c r="M44">
        <f t="shared" si="3"/>
        <v>23.727835051546393</v>
      </c>
      <c r="N44">
        <f t="shared" si="4"/>
        <v>0.5005</v>
      </c>
    </row>
    <row r="45" spans="11:14" ht="12.75">
      <c r="K45">
        <v>107.82</v>
      </c>
      <c r="L45">
        <v>58.03</v>
      </c>
      <c r="M45">
        <f t="shared" si="3"/>
        <v>22.230927835051546</v>
      </c>
      <c r="N45">
        <f t="shared" si="4"/>
        <v>0.5803</v>
      </c>
    </row>
    <row r="46" spans="11:14" ht="12.75">
      <c r="K46">
        <v>111.59</v>
      </c>
      <c r="L46">
        <v>58.25</v>
      </c>
      <c r="M46">
        <f t="shared" si="3"/>
        <v>23.008247422680416</v>
      </c>
      <c r="N46">
        <f t="shared" si="4"/>
        <v>0.5825</v>
      </c>
    </row>
    <row r="47" spans="11:14" ht="12.75">
      <c r="K47">
        <v>117.69</v>
      </c>
      <c r="L47">
        <v>59</v>
      </c>
      <c r="M47">
        <f t="shared" si="3"/>
        <v>24.2659793814433</v>
      </c>
      <c r="N47">
        <f t="shared" si="4"/>
        <v>0.59</v>
      </c>
    </row>
    <row r="48" spans="11:14" ht="12.75">
      <c r="K48">
        <v>120.3</v>
      </c>
      <c r="L48">
        <v>59.54</v>
      </c>
      <c r="M48">
        <f t="shared" si="3"/>
        <v>24.804123711340207</v>
      </c>
      <c r="N48">
        <f t="shared" si="4"/>
        <v>0.5954</v>
      </c>
    </row>
    <row r="49" spans="11:14" ht="12.75">
      <c r="K49">
        <v>123.2</v>
      </c>
      <c r="L49">
        <v>61.16</v>
      </c>
      <c r="M49">
        <f t="shared" si="3"/>
        <v>25.402061855670105</v>
      </c>
      <c r="N49">
        <f t="shared" si="4"/>
        <v>0.6115999999999999</v>
      </c>
    </row>
    <row r="50" spans="11:14" ht="12.75">
      <c r="K50">
        <v>126.4</v>
      </c>
      <c r="L50">
        <v>62.24</v>
      </c>
      <c r="M50">
        <f t="shared" si="3"/>
        <v>26.061855670103096</v>
      </c>
      <c r="N50">
        <f t="shared" si="4"/>
        <v>0.6224000000000001</v>
      </c>
    </row>
    <row r="51" spans="11:14" ht="12.75">
      <c r="K51">
        <v>137.43</v>
      </c>
      <c r="L51">
        <v>62.02</v>
      </c>
      <c r="M51">
        <f t="shared" si="3"/>
        <v>28.336082474226806</v>
      </c>
      <c r="N51">
        <f t="shared" si="4"/>
        <v>0.6202000000000001</v>
      </c>
    </row>
    <row r="52" spans="11:14" ht="12.75">
      <c r="K52">
        <v>141.78</v>
      </c>
      <c r="L52">
        <v>58.57</v>
      </c>
      <c r="M52">
        <f t="shared" si="3"/>
        <v>29.232989690721652</v>
      </c>
      <c r="N52">
        <f t="shared" si="4"/>
        <v>0.5857</v>
      </c>
    </row>
    <row r="53" spans="11:14" ht="12.75">
      <c r="K53">
        <v>157.16</v>
      </c>
      <c r="L53">
        <v>62.67</v>
      </c>
      <c r="M53">
        <f t="shared" si="3"/>
        <v>32.404123711340205</v>
      </c>
      <c r="N53">
        <f t="shared" si="4"/>
        <v>0.6267</v>
      </c>
    </row>
    <row r="54" spans="11:14" ht="12.75">
      <c r="K54">
        <v>161.81</v>
      </c>
      <c r="L54">
        <v>62.78</v>
      </c>
      <c r="M54">
        <f t="shared" si="3"/>
        <v>33.36288659793815</v>
      </c>
      <c r="N54">
        <f t="shared" si="4"/>
        <v>0.6278</v>
      </c>
    </row>
    <row r="55" spans="11:14" ht="12.75">
      <c r="K55">
        <v>167.03</v>
      </c>
      <c r="L55">
        <v>58.46</v>
      </c>
      <c r="M55">
        <f t="shared" si="3"/>
        <v>34.43917525773196</v>
      </c>
      <c r="N55">
        <f t="shared" si="4"/>
        <v>0.5846</v>
      </c>
    </row>
    <row r="56" spans="11:14" ht="12.75">
      <c r="K56">
        <v>178.06</v>
      </c>
      <c r="L56">
        <v>59.97</v>
      </c>
      <c r="M56">
        <f t="shared" si="3"/>
        <v>36.713402061855675</v>
      </c>
      <c r="N56">
        <f t="shared" si="4"/>
        <v>0.5997</v>
      </c>
    </row>
    <row r="57" spans="11:14" ht="12.75">
      <c r="K57">
        <v>196.63</v>
      </c>
      <c r="L57">
        <v>63.64</v>
      </c>
      <c r="M57">
        <f t="shared" si="3"/>
        <v>40.542268041237115</v>
      </c>
      <c r="N57">
        <f t="shared" si="4"/>
        <v>0.6364</v>
      </c>
    </row>
  </sheetData>
  <mergeCells count="2">
    <mergeCell ref="F16:H16"/>
    <mergeCell ref="F1:H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Chinaglia</dc:creator>
  <cp:keywords/>
  <dc:description/>
  <cp:lastModifiedBy>J Rodolfo S Martins</cp:lastModifiedBy>
  <cp:lastPrinted>2001-06-21T14:16:59Z</cp:lastPrinted>
  <dcterms:created xsi:type="dcterms:W3CDTF">2001-06-21T13:26:14Z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