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6930" windowHeight="4065" activeTab="2"/>
  </bookViews>
  <sheets>
    <sheet name="Teorico" sheetId="1" r:id="rId1"/>
    <sheet name="Gráfico" sheetId="2" r:id="rId2"/>
    <sheet name="RouWES" sheetId="3" r:id="rId3"/>
  </sheets>
  <externalReferences>
    <externalReference r:id="rId6"/>
  </externalReferences>
  <definedNames>
    <definedName name="AC1_RouWES_List">'[1]RouWES'!$V$16:$Y$66</definedName>
    <definedName name="AccessDatabase" hidden="1">"D:\pisci\AC1.mdb"</definedName>
    <definedName name="_xlnm.Print_Area" localSheetId="0">'Teorico'!$Q$4:$AH$31</definedName>
  </definedNames>
  <calcPr calcMode="manual" fullCalcOnLoad="1" iterate="1" iterateCount="5" iterateDelta="0.01"/>
</workbook>
</file>

<file path=xl/sharedStrings.xml><?xml version="1.0" encoding="utf-8"?>
<sst xmlns="http://schemas.openxmlformats.org/spreadsheetml/2006/main" count="78" uniqueCount="60">
  <si>
    <t>Vol Reserv (m³)</t>
  </si>
  <si>
    <t>Vol Cheia (m³)</t>
  </si>
  <si>
    <t>Qmax (m³/s)</t>
  </si>
  <si>
    <t>Dif</t>
  </si>
  <si>
    <t>TR(anos)</t>
  </si>
  <si>
    <t>Tempo (h)</t>
  </si>
  <si>
    <t>Qaf(m3/s)</t>
  </si>
  <si>
    <t>Qef(m3/s)</t>
  </si>
  <si>
    <t>Erro</t>
  </si>
  <si>
    <t>Eficiência (%)</t>
  </si>
  <si>
    <t>Intervalo de Dados (h)</t>
  </si>
  <si>
    <t>Cota de Fundo do Canal</t>
  </si>
  <si>
    <t>Cota Máxima</t>
  </si>
  <si>
    <t>Curva Cota Descarga da Soleira de Engolimento</t>
  </si>
  <si>
    <t>Curva Cota Descarga da Soleira Partidora</t>
  </si>
  <si>
    <t>Vazão de Projeto (m³/s)</t>
  </si>
  <si>
    <t>Altura do Paramento</t>
  </si>
  <si>
    <t>(p)</t>
  </si>
  <si>
    <t>Taludes (1h:__v)</t>
  </si>
  <si>
    <t>Hidrograma</t>
  </si>
  <si>
    <t>Carga de Projeto Hd</t>
  </si>
  <si>
    <t xml:space="preserve">Tr </t>
  </si>
  <si>
    <t>50 anos</t>
  </si>
  <si>
    <t>Coef Discarga Cd</t>
  </si>
  <si>
    <t>Step</t>
  </si>
  <si>
    <t>Larg Canal Aprox (m)</t>
  </si>
  <si>
    <t>Curva Cota Área Volume do Reservatório</t>
  </si>
  <si>
    <t>Cota Soleira</t>
  </si>
  <si>
    <t>Cota Ref</t>
  </si>
  <si>
    <t>Setp Curva (m)</t>
  </si>
  <si>
    <t>Compr Soleira (m)</t>
  </si>
  <si>
    <t>Área Base</t>
  </si>
  <si>
    <t>Cota</t>
  </si>
  <si>
    <t>h (m)</t>
  </si>
  <si>
    <t>Área (m²)</t>
  </si>
  <si>
    <t>Volume (m³)</t>
  </si>
  <si>
    <t>Q m³/s</t>
  </si>
  <si>
    <t>Q(m3/s)</t>
  </si>
  <si>
    <t>Rounting do Reservatório</t>
  </si>
  <si>
    <t>Dt (s)</t>
  </si>
  <si>
    <t>NA ini (m)</t>
  </si>
  <si>
    <t>NA res (m)</t>
  </si>
  <si>
    <t>Mäximos</t>
  </si>
  <si>
    <t>dt</t>
  </si>
  <si>
    <t>T</t>
  </si>
  <si>
    <t>Qaf (m³/s)</t>
  </si>
  <si>
    <t>Qt (m³/s)</t>
  </si>
  <si>
    <t>NA Can</t>
  </si>
  <si>
    <t>Qvert</t>
  </si>
  <si>
    <t>Vres</t>
  </si>
  <si>
    <t>NA res</t>
  </si>
  <si>
    <t>Qefl</t>
  </si>
  <si>
    <t>NA (m)</t>
  </si>
  <si>
    <t>Passo</t>
  </si>
  <si>
    <t>QW</t>
  </si>
  <si>
    <t>Qp</t>
  </si>
  <si>
    <t>F(H)</t>
  </si>
  <si>
    <t>Rounting Aproximadodo Resertatório OffLine</t>
  </si>
  <si>
    <t>Nac/Nar</t>
  </si>
  <si>
    <t>Caf</t>
  </si>
</sst>
</file>

<file path=xl/styles.xml><?xml version="1.0" encoding="utf-8"?>
<styleSheet xmlns="http://schemas.openxmlformats.org/spreadsheetml/2006/main">
  <numFmts count="3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0.000"/>
    <numFmt numFmtId="172" formatCode="0.0000000"/>
    <numFmt numFmtId="173" formatCode="0.000000"/>
    <numFmt numFmtId="174" formatCode="0.00000"/>
    <numFmt numFmtId="175" formatCode="0.0000"/>
    <numFmt numFmtId="176" formatCode="0.0%"/>
    <numFmt numFmtId="177" formatCode="0.000E+00"/>
    <numFmt numFmtId="178" formatCode="0.0E+00"/>
    <numFmt numFmtId="179" formatCode="_(* #,##0.000_);_(* \(#,##0.000\);_(* &quot;-&quot;??_);_(@_)"/>
    <numFmt numFmtId="180" formatCode="_(* #,##0.0000_);_(* \(#,##0.0000\);_(* &quot;-&quot;??_);_(@_)"/>
    <numFmt numFmtId="181" formatCode="_(* #,##0.00000_);_(* \(#,##0.00000\);_(* &quot;-&quot;??_);_(@_)"/>
    <numFmt numFmtId="182" formatCode="0.0000E+00;\ౌ"/>
    <numFmt numFmtId="183" formatCode="0.0000E+00;\畐"/>
    <numFmt numFmtId="184" formatCode="0.00000E+00;\畐"/>
    <numFmt numFmtId="185" formatCode="0.000000E+00;\畐"/>
    <numFmt numFmtId="186" formatCode="0.0000000E+00;\畐"/>
    <numFmt numFmtId="187" formatCode="0.00000000E+00;\畐"/>
    <numFmt numFmtId="188" formatCode="0.000000000E+00;\畐"/>
    <numFmt numFmtId="189" formatCode="0.0000000000E+00;\畐"/>
    <numFmt numFmtId="190" formatCode="0.00000000000E+00;\畐"/>
    <numFmt numFmtId="191" formatCode="0.000000000000E+00;\畐"/>
    <numFmt numFmtId="192" formatCode="0.0000000000000E+00;\畐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55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sz val="5.5"/>
      <name val="Arial"/>
      <family val="0"/>
    </font>
    <font>
      <sz val="5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2" fontId="0" fillId="0" borderId="0" xfId="31" applyNumberFormat="1" applyBorder="1" applyAlignment="1">
      <alignment/>
    </xf>
    <xf numFmtId="9" fontId="0" fillId="0" borderId="0" xfId="31" applyBorder="1" applyAlignment="1">
      <alignment/>
    </xf>
    <xf numFmtId="17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171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2" fontId="1" fillId="0" borderId="1" xfId="0" applyNumberFormat="1" applyFont="1" applyFill="1" applyBorder="1" applyAlignment="1">
      <alignment horizontal="center"/>
    </xf>
    <xf numFmtId="0" fontId="0" fillId="2" borderId="0" xfId="0" applyFill="1" applyAlignment="1">
      <alignment horizontal="left"/>
    </xf>
    <xf numFmtId="1" fontId="0" fillId="2" borderId="0" xfId="0" applyNumberFormat="1" applyFill="1" applyAlignment="1">
      <alignment/>
    </xf>
    <xf numFmtId="2" fontId="0" fillId="2" borderId="0" xfId="0" applyNumberFormat="1" applyFill="1" applyAlignment="1">
      <alignment/>
    </xf>
    <xf numFmtId="9" fontId="0" fillId="2" borderId="0" xfId="31" applyFill="1" applyAlignment="1">
      <alignment/>
    </xf>
    <xf numFmtId="176" fontId="0" fillId="2" borderId="0" xfId="31" applyNumberFormat="1" applyFill="1" applyAlignment="1">
      <alignment horizontal="center"/>
    </xf>
    <xf numFmtId="0" fontId="2" fillId="2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171" fontId="0" fillId="0" borderId="0" xfId="0" applyNumberFormat="1" applyAlignment="1">
      <alignment/>
    </xf>
    <xf numFmtId="171" fontId="0" fillId="0" borderId="0" xfId="0" applyNumberFormat="1" applyAlignment="1">
      <alignment horizontal="left"/>
    </xf>
    <xf numFmtId="0" fontId="1" fillId="0" borderId="1" xfId="0" applyFont="1" applyBorder="1" applyAlignment="1">
      <alignment horizontal="center"/>
    </xf>
    <xf numFmtId="176" fontId="0" fillId="0" borderId="0" xfId="31" applyNumberFormat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 horizontal="center"/>
    </xf>
    <xf numFmtId="176" fontId="0" fillId="0" borderId="0" xfId="31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Currency [0]_pisci.xls Chart 1" xfId="19"/>
    <cellStyle name="Currency [0]_pisci.xls Chart 2" xfId="20"/>
    <cellStyle name="Currency [0]_pisci.xls Chart 3" xfId="21"/>
    <cellStyle name="Currency [0]_Routing1" xfId="22"/>
    <cellStyle name="Currency [0]_Routing1.xls Chart 11" xfId="23"/>
    <cellStyle name="Currency [0]_Routing2" xfId="24"/>
    <cellStyle name="Currency_pisci.xls Chart 1" xfId="25"/>
    <cellStyle name="Currency_pisci.xls Chart 2" xfId="26"/>
    <cellStyle name="Currency_pisci.xls Chart 3" xfId="27"/>
    <cellStyle name="Currency_Routing1" xfId="28"/>
    <cellStyle name="Currency_Routing1.xls Chart 11" xfId="29"/>
    <cellStyle name="Currency_Routing2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705"/>
          <c:y val="0.03575"/>
          <c:w val="0.90875"/>
          <c:h val="0.842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Teorico!$A$11:$A$43</c:f>
              <c:numCache/>
            </c:numRef>
          </c:xVal>
          <c:yVal>
            <c:numRef>
              <c:f>Teorico!$B$11:$B$43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Teorico!$A$11:$A$43</c:f>
              <c:numCache/>
            </c:numRef>
          </c:xVal>
          <c:yVal>
            <c:numRef>
              <c:f>Teorico!$C$11:$C$43</c:f>
              <c:numCache>
                <c:ptCount val="33"/>
                <c:pt idx="0">
                  <c:v>0</c:v>
                </c:pt>
                <c:pt idx="1">
                  <c:v>0.017995875</c:v>
                </c:pt>
                <c:pt idx="2">
                  <c:v>0.08745399</c:v>
                </c:pt>
                <c:pt idx="3">
                  <c:v>0.21232341999999998</c:v>
                </c:pt>
                <c:pt idx="4">
                  <c:v>0.44737820000000006</c:v>
                </c:pt>
                <c:pt idx="5">
                  <c:v>3.3900024</c:v>
                </c:pt>
                <c:pt idx="6">
                  <c:v>7.336984801944457</c:v>
                </c:pt>
                <c:pt idx="7">
                  <c:v>7.336984801944457</c:v>
                </c:pt>
                <c:pt idx="8">
                  <c:v>7.336984801944457</c:v>
                </c:pt>
                <c:pt idx="9">
                  <c:v>7.336984801944457</c:v>
                </c:pt>
                <c:pt idx="10">
                  <c:v>7.336984801944457</c:v>
                </c:pt>
                <c:pt idx="11">
                  <c:v>7.336984801944457</c:v>
                </c:pt>
                <c:pt idx="12">
                  <c:v>7.336984801944457</c:v>
                </c:pt>
                <c:pt idx="13">
                  <c:v>7.336984801944457</c:v>
                </c:pt>
                <c:pt idx="14">
                  <c:v>7.336984801944457</c:v>
                </c:pt>
                <c:pt idx="15">
                  <c:v>7.336984801944457</c:v>
                </c:pt>
                <c:pt idx="16">
                  <c:v>7.336984801944457</c:v>
                </c:pt>
                <c:pt idx="17">
                  <c:v>7.336984801944457</c:v>
                </c:pt>
                <c:pt idx="18">
                  <c:v>5.434125000000001</c:v>
                </c:pt>
                <c:pt idx="19">
                  <c:v>4.006059</c:v>
                </c:pt>
                <c:pt idx="20">
                  <c:v>2.980793</c:v>
                </c:pt>
                <c:pt idx="21">
                  <c:v>2.232766</c:v>
                </c:pt>
                <c:pt idx="22">
                  <c:v>1.672012</c:v>
                </c:pt>
                <c:pt idx="23">
                  <c:v>1.233014</c:v>
                </c:pt>
                <c:pt idx="24">
                  <c:v>0.9100523</c:v>
                </c:pt>
                <c:pt idx="25">
                  <c:v>0.6804895</c:v>
                </c:pt>
                <c:pt idx="26">
                  <c:v>0.5127043</c:v>
                </c:pt>
                <c:pt idx="27">
                  <c:v>0.3871009</c:v>
                </c:pt>
                <c:pt idx="28">
                  <c:v>0.2901747</c:v>
                </c:pt>
                <c:pt idx="29">
                  <c:v>0.2150934</c:v>
                </c:pt>
                <c:pt idx="30">
                  <c:v>0.1574645</c:v>
                </c:pt>
                <c:pt idx="31">
                  <c:v>0.1126467</c:v>
                </c:pt>
                <c:pt idx="32">
                  <c:v>0.26524243999999997</c:v>
                </c:pt>
              </c:numCache>
            </c:numRef>
          </c:yVal>
          <c:smooth val="0"/>
        </c:ser>
        <c:axId val="6804698"/>
        <c:axId val="61242283"/>
      </c:scatterChart>
      <c:valAx>
        <c:axId val="6804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Tempo (h)</a:t>
                </a:r>
              </a:p>
            </c:rich>
          </c:tx>
          <c:layout>
            <c:manualLayout>
              <c:xMode val="factor"/>
              <c:yMode val="factor"/>
              <c:x val="0.01375"/>
              <c:y val="0.096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242283"/>
        <c:crosses val="autoZero"/>
        <c:crossBetween val="midCat"/>
        <c:dispUnits/>
      </c:valAx>
      <c:valAx>
        <c:axId val="612422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Vazão (m³/s)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8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04698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7"/>
          <c:w val="0.97525"/>
          <c:h val="0.94625"/>
        </c:manualLayout>
      </c:layout>
      <c:scatterChart>
        <c:scatterStyle val="smooth"/>
        <c:varyColors val="0"/>
        <c:ser>
          <c:idx val="0"/>
          <c:order val="0"/>
          <c:tx>
            <c:strRef>
              <c:f>RouWES!$C$47</c:f>
              <c:strCache>
                <c:ptCount val="1"/>
                <c:pt idx="0">
                  <c:v>Qaf (m³/s)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RouWES!$B$48:$B$115</c:f>
              <c:numCache>
                <c:ptCount val="68"/>
                <c:pt idx="0">
                  <c:v>0</c:v>
                </c:pt>
                <c:pt idx="1">
                  <c:v>0.16666666666666666</c:v>
                </c:pt>
                <c:pt idx="2">
                  <c:v>0.3333333333333333</c:v>
                </c:pt>
                <c:pt idx="3">
                  <c:v>0.5</c:v>
                </c:pt>
                <c:pt idx="4">
                  <c:v>0.6666666666666666</c:v>
                </c:pt>
                <c:pt idx="5">
                  <c:v>0.8333333333333334</c:v>
                </c:pt>
                <c:pt idx="6">
                  <c:v>1</c:v>
                </c:pt>
                <c:pt idx="7">
                  <c:v>1.1666666666666667</c:v>
                </c:pt>
                <c:pt idx="8">
                  <c:v>1.3333333333333333</c:v>
                </c:pt>
                <c:pt idx="9">
                  <c:v>1.5</c:v>
                </c:pt>
                <c:pt idx="10">
                  <c:v>1.6666666666666667</c:v>
                </c:pt>
                <c:pt idx="11">
                  <c:v>1.8333333333333333</c:v>
                </c:pt>
                <c:pt idx="12">
                  <c:v>2</c:v>
                </c:pt>
                <c:pt idx="13">
                  <c:v>2.1666666666666665</c:v>
                </c:pt>
                <c:pt idx="14">
                  <c:v>2.3333333333333335</c:v>
                </c:pt>
                <c:pt idx="15">
                  <c:v>2.5</c:v>
                </c:pt>
                <c:pt idx="16">
                  <c:v>2.6666666666666665</c:v>
                </c:pt>
                <c:pt idx="17">
                  <c:v>2.8333333333333335</c:v>
                </c:pt>
                <c:pt idx="18">
                  <c:v>3</c:v>
                </c:pt>
                <c:pt idx="19">
                  <c:v>3.1666666666666665</c:v>
                </c:pt>
                <c:pt idx="20">
                  <c:v>3.3333333333333335</c:v>
                </c:pt>
                <c:pt idx="21">
                  <c:v>3.5</c:v>
                </c:pt>
                <c:pt idx="22">
                  <c:v>3.6666666666666665</c:v>
                </c:pt>
                <c:pt idx="23">
                  <c:v>3.8333333333333335</c:v>
                </c:pt>
                <c:pt idx="24">
                  <c:v>4</c:v>
                </c:pt>
                <c:pt idx="25">
                  <c:v>4.166666666666667</c:v>
                </c:pt>
                <c:pt idx="26">
                  <c:v>4.333333333333333</c:v>
                </c:pt>
                <c:pt idx="27">
                  <c:v>4.5</c:v>
                </c:pt>
                <c:pt idx="28">
                  <c:v>4.666666666666667</c:v>
                </c:pt>
                <c:pt idx="29">
                  <c:v>4.833333333333333</c:v>
                </c:pt>
                <c:pt idx="30">
                  <c:v>5</c:v>
                </c:pt>
                <c:pt idx="31">
                  <c:v>5.166666666666667</c:v>
                </c:pt>
                <c:pt idx="32">
                  <c:v>5.333333333333333</c:v>
                </c:pt>
                <c:pt idx="33">
                  <c:v>5.5</c:v>
                </c:pt>
                <c:pt idx="34">
                  <c:v>5.666666666666667</c:v>
                </c:pt>
              </c:numCache>
            </c:numRef>
          </c:xVal>
          <c:yVal>
            <c:numRef>
              <c:f>RouWES!$C$48:$C$115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0.3009999990463257</c:v>
                </c:pt>
                <c:pt idx="7">
                  <c:v>0.802666425704956</c:v>
                </c:pt>
                <c:pt idx="8">
                  <c:v>7.45055627822876</c:v>
                </c:pt>
                <c:pt idx="9">
                  <c:v>15.635000228881836</c:v>
                </c:pt>
                <c:pt idx="10">
                  <c:v>39.79222106933594</c:v>
                </c:pt>
                <c:pt idx="11">
                  <c:v>63.47834396362305</c:v>
                </c:pt>
                <c:pt idx="12">
                  <c:v>85.28001403808594</c:v>
                </c:pt>
                <c:pt idx="13">
                  <c:v>98.37655639648438</c:v>
                </c:pt>
                <c:pt idx="14">
                  <c:v>98.41544342041016</c:v>
                </c:pt>
                <c:pt idx="15">
                  <c:v>90.7896728515625</c:v>
                </c:pt>
                <c:pt idx="16">
                  <c:v>78.05411529541016</c:v>
                </c:pt>
                <c:pt idx="17">
                  <c:v>65.86256408691406</c:v>
                </c:pt>
                <c:pt idx="18">
                  <c:v>53.80699920654297</c:v>
                </c:pt>
                <c:pt idx="19">
                  <c:v>44.89088439941406</c:v>
                </c:pt>
                <c:pt idx="20">
                  <c:v>36.37755584716797</c:v>
                </c:pt>
                <c:pt idx="21">
                  <c:v>29.475330352783203</c:v>
                </c:pt>
                <c:pt idx="22">
                  <c:v>23.25221824645996</c:v>
                </c:pt>
                <c:pt idx="23">
                  <c:v>18.047780990600586</c:v>
                </c:pt>
                <c:pt idx="24">
                  <c:v>13.892666816711426</c:v>
                </c:pt>
                <c:pt idx="25">
                  <c:v>10.437110900878906</c:v>
                </c:pt>
                <c:pt idx="26">
                  <c:v>8.021552085876465</c:v>
                </c:pt>
                <c:pt idx="27">
                  <c:v>5.866000175476074</c:v>
                </c:pt>
                <c:pt idx="28">
                  <c:v>4.569890975952148</c:v>
                </c:pt>
                <c:pt idx="29">
                  <c:v>3.3792221546173096</c:v>
                </c:pt>
                <c:pt idx="30">
                  <c:v>2.610333204269409</c:v>
                </c:pt>
                <c:pt idx="31">
                  <c:v>1.94700026512146</c:v>
                </c:pt>
                <c:pt idx="32">
                  <c:v>1.4419996738433838</c:v>
                </c:pt>
                <c:pt idx="33">
                  <c:v>1.0603333711624146</c:v>
                </c:pt>
                <c:pt idx="34">
                  <c:v>0.7608888745307922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RouWES!$I$47</c:f>
              <c:strCache>
                <c:ptCount val="1"/>
                <c:pt idx="0">
                  <c:v>Qefl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RouWES!$B$48:$B$115</c:f>
              <c:numCache>
                <c:ptCount val="68"/>
                <c:pt idx="0">
                  <c:v>0</c:v>
                </c:pt>
                <c:pt idx="1">
                  <c:v>0.16666666666666666</c:v>
                </c:pt>
                <c:pt idx="2">
                  <c:v>0.3333333333333333</c:v>
                </c:pt>
                <c:pt idx="3">
                  <c:v>0.5</c:v>
                </c:pt>
                <c:pt idx="4">
                  <c:v>0.6666666666666666</c:v>
                </c:pt>
                <c:pt idx="5">
                  <c:v>0.8333333333333334</c:v>
                </c:pt>
                <c:pt idx="6">
                  <c:v>1</c:v>
                </c:pt>
                <c:pt idx="7">
                  <c:v>1.1666666666666667</c:v>
                </c:pt>
                <c:pt idx="8">
                  <c:v>1.3333333333333333</c:v>
                </c:pt>
                <c:pt idx="9">
                  <c:v>1.5</c:v>
                </c:pt>
                <c:pt idx="10">
                  <c:v>1.6666666666666667</c:v>
                </c:pt>
                <c:pt idx="11">
                  <c:v>1.8333333333333333</c:v>
                </c:pt>
                <c:pt idx="12">
                  <c:v>2</c:v>
                </c:pt>
                <c:pt idx="13">
                  <c:v>2.1666666666666665</c:v>
                </c:pt>
                <c:pt idx="14">
                  <c:v>2.3333333333333335</c:v>
                </c:pt>
                <c:pt idx="15">
                  <c:v>2.5</c:v>
                </c:pt>
                <c:pt idx="16">
                  <c:v>2.6666666666666665</c:v>
                </c:pt>
                <c:pt idx="17">
                  <c:v>2.8333333333333335</c:v>
                </c:pt>
                <c:pt idx="18">
                  <c:v>3</c:v>
                </c:pt>
                <c:pt idx="19">
                  <c:v>3.1666666666666665</c:v>
                </c:pt>
                <c:pt idx="20">
                  <c:v>3.3333333333333335</c:v>
                </c:pt>
                <c:pt idx="21">
                  <c:v>3.5</c:v>
                </c:pt>
                <c:pt idx="22">
                  <c:v>3.6666666666666665</c:v>
                </c:pt>
                <c:pt idx="23">
                  <c:v>3.8333333333333335</c:v>
                </c:pt>
                <c:pt idx="24">
                  <c:v>4</c:v>
                </c:pt>
                <c:pt idx="25">
                  <c:v>4.166666666666667</c:v>
                </c:pt>
                <c:pt idx="26">
                  <c:v>4.333333333333333</c:v>
                </c:pt>
                <c:pt idx="27">
                  <c:v>4.5</c:v>
                </c:pt>
                <c:pt idx="28">
                  <c:v>4.666666666666667</c:v>
                </c:pt>
                <c:pt idx="29">
                  <c:v>4.833333333333333</c:v>
                </c:pt>
                <c:pt idx="30">
                  <c:v>5</c:v>
                </c:pt>
                <c:pt idx="31">
                  <c:v>5.166666666666667</c:v>
                </c:pt>
                <c:pt idx="32">
                  <c:v>5.333333333333333</c:v>
                </c:pt>
                <c:pt idx="33">
                  <c:v>5.5</c:v>
                </c:pt>
                <c:pt idx="34">
                  <c:v>5.666666666666667</c:v>
                </c:pt>
              </c:numCache>
            </c:numRef>
          </c:xVal>
          <c:yVal>
            <c:numRef>
              <c:f>RouWES!$I$48:$I$115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0.3009999990463257</c:v>
                </c:pt>
                <c:pt idx="7">
                  <c:v>0.802666425704956</c:v>
                </c:pt>
                <c:pt idx="8">
                  <c:v>5.419390439987183</c:v>
                </c:pt>
                <c:pt idx="9">
                  <c:v>8.735939502716064</c:v>
                </c:pt>
                <c:pt idx="10">
                  <c:v>17.63816261291504</c:v>
                </c:pt>
                <c:pt idx="11">
                  <c:v>26.08185577392578</c:v>
                </c:pt>
                <c:pt idx="12">
                  <c:v>34.102657318115234</c:v>
                </c:pt>
                <c:pt idx="13">
                  <c:v>39.12164306640625</c:v>
                </c:pt>
                <c:pt idx="14">
                  <c:v>39.13489532470703</c:v>
                </c:pt>
                <c:pt idx="15">
                  <c:v>90.7896728515625</c:v>
                </c:pt>
                <c:pt idx="16">
                  <c:v>78.05411529541016</c:v>
                </c:pt>
                <c:pt idx="17">
                  <c:v>65.86256408691406</c:v>
                </c:pt>
                <c:pt idx="18">
                  <c:v>53.80699920654297</c:v>
                </c:pt>
                <c:pt idx="19">
                  <c:v>44.89088439941406</c:v>
                </c:pt>
                <c:pt idx="20">
                  <c:v>36.37755584716797</c:v>
                </c:pt>
                <c:pt idx="21">
                  <c:v>29.475330352783203</c:v>
                </c:pt>
                <c:pt idx="22">
                  <c:v>23.25221824645996</c:v>
                </c:pt>
                <c:pt idx="23">
                  <c:v>18.047780990600586</c:v>
                </c:pt>
                <c:pt idx="24">
                  <c:v>13.892666816711426</c:v>
                </c:pt>
                <c:pt idx="25">
                  <c:v>10.437110900878906</c:v>
                </c:pt>
                <c:pt idx="26">
                  <c:v>8.021552085876465</c:v>
                </c:pt>
                <c:pt idx="27">
                  <c:v>5.866000175476074</c:v>
                </c:pt>
                <c:pt idx="28">
                  <c:v>4.569890975952148</c:v>
                </c:pt>
                <c:pt idx="29">
                  <c:v>3.3792221546173096</c:v>
                </c:pt>
                <c:pt idx="30">
                  <c:v>2.610333204269409</c:v>
                </c:pt>
                <c:pt idx="31">
                  <c:v>1.94700026512146</c:v>
                </c:pt>
                <c:pt idx="32">
                  <c:v>1.4419996738433838</c:v>
                </c:pt>
                <c:pt idx="33">
                  <c:v>1.0603333711624146</c:v>
                </c:pt>
                <c:pt idx="34">
                  <c:v>0.7608888745307922</c:v>
                </c:pt>
              </c:numCache>
            </c:numRef>
          </c:yVal>
          <c:smooth val="1"/>
        </c:ser>
        <c:axId val="14309636"/>
        <c:axId val="61677861"/>
      </c:scatterChart>
      <c:scatterChart>
        <c:scatterStyle val="lineMarker"/>
        <c:varyColors val="0"/>
        <c:ser>
          <c:idx val="1"/>
          <c:order val="1"/>
          <c:tx>
            <c:strRef>
              <c:f>RouWES!$E$47</c:f>
              <c:strCache>
                <c:ptCount val="1"/>
                <c:pt idx="0">
                  <c:v>NA Can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RouWES!$B$48:$B$115</c:f>
              <c:numCache>
                <c:ptCount val="68"/>
                <c:pt idx="0">
                  <c:v>0</c:v>
                </c:pt>
                <c:pt idx="1">
                  <c:v>0.16666666666666666</c:v>
                </c:pt>
                <c:pt idx="2">
                  <c:v>0.3333333333333333</c:v>
                </c:pt>
                <c:pt idx="3">
                  <c:v>0.5</c:v>
                </c:pt>
                <c:pt idx="4">
                  <c:v>0.6666666666666666</c:v>
                </c:pt>
                <c:pt idx="5">
                  <c:v>0.8333333333333334</c:v>
                </c:pt>
                <c:pt idx="6">
                  <c:v>1</c:v>
                </c:pt>
                <c:pt idx="7">
                  <c:v>1.1666666666666667</c:v>
                </c:pt>
                <c:pt idx="8">
                  <c:v>1.3333333333333333</c:v>
                </c:pt>
                <c:pt idx="9">
                  <c:v>1.5</c:v>
                </c:pt>
                <c:pt idx="10">
                  <c:v>1.6666666666666667</c:v>
                </c:pt>
                <c:pt idx="11">
                  <c:v>1.8333333333333333</c:v>
                </c:pt>
                <c:pt idx="12">
                  <c:v>2</c:v>
                </c:pt>
                <c:pt idx="13">
                  <c:v>2.1666666666666665</c:v>
                </c:pt>
                <c:pt idx="14">
                  <c:v>2.3333333333333335</c:v>
                </c:pt>
                <c:pt idx="15">
                  <c:v>2.5</c:v>
                </c:pt>
                <c:pt idx="16">
                  <c:v>2.6666666666666665</c:v>
                </c:pt>
                <c:pt idx="17">
                  <c:v>2.8333333333333335</c:v>
                </c:pt>
                <c:pt idx="18">
                  <c:v>3</c:v>
                </c:pt>
                <c:pt idx="19">
                  <c:v>3.1666666666666665</c:v>
                </c:pt>
                <c:pt idx="20">
                  <c:v>3.3333333333333335</c:v>
                </c:pt>
                <c:pt idx="21">
                  <c:v>3.5</c:v>
                </c:pt>
                <c:pt idx="22">
                  <c:v>3.6666666666666665</c:v>
                </c:pt>
                <c:pt idx="23">
                  <c:v>3.8333333333333335</c:v>
                </c:pt>
                <c:pt idx="24">
                  <c:v>4</c:v>
                </c:pt>
                <c:pt idx="25">
                  <c:v>4.166666666666667</c:v>
                </c:pt>
                <c:pt idx="26">
                  <c:v>4.333333333333333</c:v>
                </c:pt>
                <c:pt idx="27">
                  <c:v>4.5</c:v>
                </c:pt>
                <c:pt idx="28">
                  <c:v>4.666666666666667</c:v>
                </c:pt>
                <c:pt idx="29">
                  <c:v>4.833333333333333</c:v>
                </c:pt>
                <c:pt idx="30">
                  <c:v>5</c:v>
                </c:pt>
                <c:pt idx="31">
                  <c:v>5.166666666666667</c:v>
                </c:pt>
                <c:pt idx="32">
                  <c:v>5.333333333333333</c:v>
                </c:pt>
                <c:pt idx="33">
                  <c:v>5.5</c:v>
                </c:pt>
                <c:pt idx="34">
                  <c:v>5.666666666666667</c:v>
                </c:pt>
              </c:numCache>
            </c:numRef>
          </c:xVal>
          <c:yVal>
            <c:numRef>
              <c:f>RouWES!$E$48:$E$114</c:f>
              <c:numCache>
                <c:ptCount val="67"/>
                <c:pt idx="0">
                  <c:v>747.7</c:v>
                </c:pt>
                <c:pt idx="1">
                  <c:v>747.7009887695312</c:v>
                </c:pt>
                <c:pt idx="2">
                  <c:v>747.7009887695312</c:v>
                </c:pt>
                <c:pt idx="3">
                  <c:v>747.7009887695312</c:v>
                </c:pt>
                <c:pt idx="4">
                  <c:v>747.7009887695312</c:v>
                </c:pt>
                <c:pt idx="5">
                  <c:v>747.7009887695312</c:v>
                </c:pt>
                <c:pt idx="6">
                  <c:v>747.7425537109375</c:v>
                </c:pt>
                <c:pt idx="7">
                  <c:v>747.81201171875</c:v>
                </c:pt>
                <c:pt idx="8">
                  <c:v>748.1485595703125</c:v>
                </c:pt>
                <c:pt idx="9">
                  <c:v>748.3355102539062</c:v>
                </c:pt>
                <c:pt idx="10">
                  <c:v>748.73095703125</c:v>
                </c:pt>
                <c:pt idx="11">
                  <c:v>749.037353515625</c:v>
                </c:pt>
                <c:pt idx="12">
                  <c:v>749.2998657226562</c:v>
                </c:pt>
                <c:pt idx="13">
                  <c:v>749.4537353515625</c:v>
                </c:pt>
                <c:pt idx="14">
                  <c:v>749.4542236328125</c:v>
                </c:pt>
                <c:pt idx="15">
                  <c:v>749.3648681640625</c:v>
                </c:pt>
                <c:pt idx="16">
                  <c:v>749.2139282226562</c:v>
                </c:pt>
                <c:pt idx="17">
                  <c:v>749.0668334960938</c:v>
                </c:pt>
                <c:pt idx="18">
                  <c:v>748.917724609375</c:v>
                </c:pt>
                <c:pt idx="19">
                  <c:v>748.7993774414062</c:v>
                </c:pt>
                <c:pt idx="20">
                  <c:v>748.68017578125</c:v>
                </c:pt>
                <c:pt idx="21">
                  <c:v>748.5775756835938</c:v>
                </c:pt>
                <c:pt idx="22">
                  <c:v>748.4741821289062</c:v>
                </c:pt>
                <c:pt idx="23">
                  <c:v>748.3850708007812</c:v>
                </c:pt>
                <c:pt idx="24">
                  <c:v>748.2996826171875</c:v>
                </c:pt>
                <c:pt idx="25">
                  <c:v>748.2286987304688</c:v>
                </c:pt>
                <c:pt idx="26">
                  <c:v>748.1647338867188</c:v>
                </c:pt>
                <c:pt idx="27">
                  <c:v>748.1036987304688</c:v>
                </c:pt>
                <c:pt idx="28">
                  <c:v>748.0669555664062</c:v>
                </c:pt>
                <c:pt idx="29">
                  <c:v>748.01708984375</c:v>
                </c:pt>
                <c:pt idx="30">
                  <c:v>747.9652099609375</c:v>
                </c:pt>
                <c:pt idx="31">
                  <c:v>747.9204711914062</c:v>
                </c:pt>
                <c:pt idx="32">
                  <c:v>747.8864135742188</c:v>
                </c:pt>
                <c:pt idx="33">
                  <c:v>747.84765625</c:v>
                </c:pt>
                <c:pt idx="34">
                  <c:v>747.8062133789062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RouWES!$H$47</c:f>
              <c:strCache>
                <c:ptCount val="1"/>
                <c:pt idx="0">
                  <c:v>NA res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6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xVal>
            <c:numRef>
              <c:f>RouWES!$B$48:$B$115</c:f>
              <c:numCache>
                <c:ptCount val="68"/>
                <c:pt idx="0">
                  <c:v>0</c:v>
                </c:pt>
                <c:pt idx="1">
                  <c:v>0.16666666666666666</c:v>
                </c:pt>
                <c:pt idx="2">
                  <c:v>0.3333333333333333</c:v>
                </c:pt>
                <c:pt idx="3">
                  <c:v>0.5</c:v>
                </c:pt>
                <c:pt idx="4">
                  <c:v>0.6666666666666666</c:v>
                </c:pt>
                <c:pt idx="5">
                  <c:v>0.8333333333333334</c:v>
                </c:pt>
                <c:pt idx="6">
                  <c:v>1</c:v>
                </c:pt>
                <c:pt idx="7">
                  <c:v>1.1666666666666667</c:v>
                </c:pt>
                <c:pt idx="8">
                  <c:v>1.3333333333333333</c:v>
                </c:pt>
                <c:pt idx="9">
                  <c:v>1.5</c:v>
                </c:pt>
                <c:pt idx="10">
                  <c:v>1.6666666666666667</c:v>
                </c:pt>
                <c:pt idx="11">
                  <c:v>1.8333333333333333</c:v>
                </c:pt>
                <c:pt idx="12">
                  <c:v>2</c:v>
                </c:pt>
                <c:pt idx="13">
                  <c:v>2.1666666666666665</c:v>
                </c:pt>
                <c:pt idx="14">
                  <c:v>2.3333333333333335</c:v>
                </c:pt>
                <c:pt idx="15">
                  <c:v>2.5</c:v>
                </c:pt>
                <c:pt idx="16">
                  <c:v>2.6666666666666665</c:v>
                </c:pt>
                <c:pt idx="17">
                  <c:v>2.8333333333333335</c:v>
                </c:pt>
                <c:pt idx="18">
                  <c:v>3</c:v>
                </c:pt>
                <c:pt idx="19">
                  <c:v>3.1666666666666665</c:v>
                </c:pt>
                <c:pt idx="20">
                  <c:v>3.3333333333333335</c:v>
                </c:pt>
                <c:pt idx="21">
                  <c:v>3.5</c:v>
                </c:pt>
                <c:pt idx="22">
                  <c:v>3.6666666666666665</c:v>
                </c:pt>
                <c:pt idx="23">
                  <c:v>3.8333333333333335</c:v>
                </c:pt>
                <c:pt idx="24">
                  <c:v>4</c:v>
                </c:pt>
                <c:pt idx="25">
                  <c:v>4.166666666666667</c:v>
                </c:pt>
                <c:pt idx="26">
                  <c:v>4.333333333333333</c:v>
                </c:pt>
                <c:pt idx="27">
                  <c:v>4.5</c:v>
                </c:pt>
                <c:pt idx="28">
                  <c:v>4.666666666666667</c:v>
                </c:pt>
                <c:pt idx="29">
                  <c:v>4.833333333333333</c:v>
                </c:pt>
                <c:pt idx="30">
                  <c:v>5</c:v>
                </c:pt>
                <c:pt idx="31">
                  <c:v>5.166666666666667</c:v>
                </c:pt>
                <c:pt idx="32">
                  <c:v>5.333333333333333</c:v>
                </c:pt>
                <c:pt idx="33">
                  <c:v>5.5</c:v>
                </c:pt>
                <c:pt idx="34">
                  <c:v>5.666666666666667</c:v>
                </c:pt>
              </c:numCache>
            </c:numRef>
          </c:xVal>
          <c:yVal>
            <c:numRef>
              <c:f>RouWES!$H$48:$H$115</c:f>
              <c:numCache>
                <c:ptCount val="68"/>
                <c:pt idx="0">
                  <c:v>740</c:v>
                </c:pt>
                <c:pt idx="1">
                  <c:v>740</c:v>
                </c:pt>
                <c:pt idx="2">
                  <c:v>740</c:v>
                </c:pt>
                <c:pt idx="3">
                  <c:v>740</c:v>
                </c:pt>
                <c:pt idx="4">
                  <c:v>740</c:v>
                </c:pt>
                <c:pt idx="5">
                  <c:v>740</c:v>
                </c:pt>
                <c:pt idx="6">
                  <c:v>740</c:v>
                </c:pt>
                <c:pt idx="7">
                  <c:v>740</c:v>
                </c:pt>
                <c:pt idx="8">
                  <c:v>740.0713500976562</c:v>
                </c:pt>
                <c:pt idx="9">
                  <c:v>740.3849487304688</c:v>
                </c:pt>
                <c:pt idx="10">
                  <c:v>741.3012084960938</c:v>
                </c:pt>
                <c:pt idx="11">
                  <c:v>742.6757202148438</c:v>
                </c:pt>
                <c:pt idx="12">
                  <c:v>744.4303588867188</c:v>
                </c:pt>
                <c:pt idx="13">
                  <c:v>746.4736328125</c:v>
                </c:pt>
                <c:pt idx="14">
                  <c:v>748.390869140625</c:v>
                </c:pt>
                <c:pt idx="15">
                  <c:v>749.237548828125</c:v>
                </c:pt>
                <c:pt idx="16">
                  <c:v>749.237548828125</c:v>
                </c:pt>
                <c:pt idx="17">
                  <c:v>749.237548828125</c:v>
                </c:pt>
                <c:pt idx="18">
                  <c:v>749.237548828125</c:v>
                </c:pt>
                <c:pt idx="19">
                  <c:v>749.237548828125</c:v>
                </c:pt>
                <c:pt idx="20">
                  <c:v>749.237548828125</c:v>
                </c:pt>
                <c:pt idx="21">
                  <c:v>749.237548828125</c:v>
                </c:pt>
                <c:pt idx="22">
                  <c:v>749.237548828125</c:v>
                </c:pt>
                <c:pt idx="23">
                  <c:v>749.237548828125</c:v>
                </c:pt>
                <c:pt idx="24">
                  <c:v>749.237548828125</c:v>
                </c:pt>
                <c:pt idx="25">
                  <c:v>749.237548828125</c:v>
                </c:pt>
                <c:pt idx="26">
                  <c:v>749.237548828125</c:v>
                </c:pt>
                <c:pt idx="27">
                  <c:v>749.237548828125</c:v>
                </c:pt>
                <c:pt idx="28">
                  <c:v>749.237548828125</c:v>
                </c:pt>
                <c:pt idx="29">
                  <c:v>749.237548828125</c:v>
                </c:pt>
                <c:pt idx="30">
                  <c:v>749.237548828125</c:v>
                </c:pt>
                <c:pt idx="31">
                  <c:v>749.237548828125</c:v>
                </c:pt>
                <c:pt idx="32">
                  <c:v>749.237548828125</c:v>
                </c:pt>
                <c:pt idx="33">
                  <c:v>749.237548828125</c:v>
                </c:pt>
                <c:pt idx="34">
                  <c:v>749.237548828125</c:v>
                </c:pt>
              </c:numCache>
            </c:numRef>
          </c:yVal>
          <c:smooth val="0"/>
        </c:ser>
        <c:axId val="18229838"/>
        <c:axId val="29850815"/>
      </c:scatterChart>
      <c:valAx>
        <c:axId val="14309636"/>
        <c:scaling>
          <c:orientation val="minMax"/>
          <c:max val="5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1677861"/>
        <c:crosses val="autoZero"/>
        <c:crossBetween val="midCat"/>
        <c:dispUnits/>
        <c:majorUnit val="1"/>
      </c:valAx>
      <c:valAx>
        <c:axId val="61677861"/>
        <c:scaling>
          <c:orientation val="minMax"/>
          <c:max val="13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309636"/>
        <c:crosses val="autoZero"/>
        <c:crossBetween val="midCat"/>
        <c:dispUnits/>
        <c:majorUnit val="10"/>
      </c:valAx>
      <c:valAx>
        <c:axId val="18229838"/>
        <c:scaling>
          <c:orientation val="minMax"/>
        </c:scaling>
        <c:axPos val="b"/>
        <c:delete val="1"/>
        <c:majorTickMark val="in"/>
        <c:minorTickMark val="none"/>
        <c:tickLblPos val="nextTo"/>
        <c:crossAx val="29850815"/>
        <c:crosses val="max"/>
        <c:crossBetween val="midCat"/>
        <c:dispUnits/>
      </c:valAx>
      <c:valAx>
        <c:axId val="29850815"/>
        <c:scaling>
          <c:orientation val="minMax"/>
          <c:max val="750"/>
          <c:min val="740"/>
        </c:scaling>
        <c:axPos val="l"/>
        <c:delete val="0"/>
        <c:numFmt formatCode="General" sourceLinked="1"/>
        <c:majorTickMark val="in"/>
        <c:minorTickMark val="none"/>
        <c:tickLblPos val="nextTo"/>
        <c:crossAx val="18229838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"/>
          <c:y val="0.46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0545"/>
          <c:w val="0.95075"/>
          <c:h val="0.891"/>
        </c:manualLayout>
      </c:layout>
      <c:scatterChart>
        <c:scatterStyle val="smooth"/>
        <c:varyColors val="0"/>
        <c:ser>
          <c:idx val="0"/>
          <c:order val="0"/>
          <c:tx>
            <c:strRef>
              <c:f>RouWES!$C$47</c:f>
              <c:strCache>
                <c:ptCount val="1"/>
                <c:pt idx="0">
                  <c:v>Qaf (m³/s)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RouWES!$B$48:$B$115</c:f>
              <c:numCache/>
            </c:numRef>
          </c:xVal>
          <c:yVal>
            <c:numRef>
              <c:f>RouWES!$C$48:$C$115</c:f>
              <c:numCache/>
            </c:numRef>
          </c:yVal>
          <c:smooth val="1"/>
        </c:ser>
        <c:ser>
          <c:idx val="2"/>
          <c:order val="2"/>
          <c:tx>
            <c:strRef>
              <c:f>RouWES!$I$47</c:f>
              <c:strCache>
                <c:ptCount val="1"/>
                <c:pt idx="0">
                  <c:v>Qefl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RouWES!$B$48:$B$115</c:f>
              <c:numCache/>
            </c:numRef>
          </c:xVal>
          <c:yVal>
            <c:numRef>
              <c:f>RouWES!$I$48:$I$115</c:f>
              <c:numCache>
                <c:ptCount val="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0.3009999990463257</c:v>
                </c:pt>
                <c:pt idx="7">
                  <c:v>0.802666425704956</c:v>
                </c:pt>
                <c:pt idx="8">
                  <c:v>7.45055627822876</c:v>
                </c:pt>
                <c:pt idx="9">
                  <c:v>15.635000228881836</c:v>
                </c:pt>
                <c:pt idx="10">
                  <c:v>39.79222106933594</c:v>
                </c:pt>
                <c:pt idx="11">
                  <c:v>46.95183753967285</c:v>
                </c:pt>
                <c:pt idx="12">
                  <c:v>51.57906723022461</c:v>
                </c:pt>
                <c:pt idx="13">
                  <c:v>54.55196762084961</c:v>
                </c:pt>
                <c:pt idx="14">
                  <c:v>54.55756378173828</c:v>
                </c:pt>
                <c:pt idx="15">
                  <c:v>52.890838623046875</c:v>
                </c:pt>
                <c:pt idx="16">
                  <c:v>49.548370361328125</c:v>
                </c:pt>
                <c:pt idx="17">
                  <c:v>47.488739013671875</c:v>
                </c:pt>
                <c:pt idx="18">
                  <c:v>44.262558937072754</c:v>
                </c:pt>
                <c:pt idx="19">
                  <c:v>44.89088439941406</c:v>
                </c:pt>
                <c:pt idx="20">
                  <c:v>36.37755584716797</c:v>
                </c:pt>
                <c:pt idx="21">
                  <c:v>29.475330352783203</c:v>
                </c:pt>
                <c:pt idx="22">
                  <c:v>23.25221824645996</c:v>
                </c:pt>
                <c:pt idx="23">
                  <c:v>18.047780990600586</c:v>
                </c:pt>
                <c:pt idx="24">
                  <c:v>13.892666816711426</c:v>
                </c:pt>
                <c:pt idx="25">
                  <c:v>10.437110900878906</c:v>
                </c:pt>
                <c:pt idx="26">
                  <c:v>8.021552085876465</c:v>
                </c:pt>
                <c:pt idx="27">
                  <c:v>5.866000175476074</c:v>
                </c:pt>
                <c:pt idx="28">
                  <c:v>4.569890975952148</c:v>
                </c:pt>
                <c:pt idx="29">
                  <c:v>3.3792221546173096</c:v>
                </c:pt>
                <c:pt idx="30">
                  <c:v>2.610333204269409</c:v>
                </c:pt>
                <c:pt idx="31">
                  <c:v>1.94700026512146</c:v>
                </c:pt>
                <c:pt idx="32">
                  <c:v>1.4419996738433838</c:v>
                </c:pt>
                <c:pt idx="33">
                  <c:v>1.0603333711624146</c:v>
                </c:pt>
                <c:pt idx="34">
                  <c:v>0.7608888745307922</c:v>
                </c:pt>
              </c:numCache>
            </c:numRef>
          </c:yVal>
          <c:smooth val="1"/>
        </c:ser>
        <c:axId val="221880"/>
        <c:axId val="1996921"/>
      </c:scatterChart>
      <c:scatterChart>
        <c:scatterStyle val="lineMarker"/>
        <c:varyColors val="0"/>
        <c:ser>
          <c:idx val="1"/>
          <c:order val="1"/>
          <c:tx>
            <c:strRef>
              <c:f>RouWES!$E$47</c:f>
              <c:strCache>
                <c:ptCount val="1"/>
                <c:pt idx="0">
                  <c:v>NA Can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RouWES!$B$48:$B$115</c:f>
              <c:numCache/>
            </c:numRef>
          </c:xVal>
          <c:yVal>
            <c:numRef>
              <c:f>RouWES!$E$48:$E$114</c:f>
              <c:numCache>
                <c:ptCount val="67"/>
                <c:pt idx="0">
                  <c:v>747.7</c:v>
                </c:pt>
                <c:pt idx="1">
                  <c:v>747.7009887695312</c:v>
                </c:pt>
                <c:pt idx="2">
                  <c:v>747.7009887695312</c:v>
                </c:pt>
                <c:pt idx="3">
                  <c:v>747.7009887695312</c:v>
                </c:pt>
                <c:pt idx="4">
                  <c:v>747.7009887695312</c:v>
                </c:pt>
                <c:pt idx="5">
                  <c:v>747.7009887695312</c:v>
                </c:pt>
                <c:pt idx="6">
                  <c:v>747.7286987304688</c:v>
                </c:pt>
                <c:pt idx="7">
                  <c:v>747.7749633789062</c:v>
                </c:pt>
                <c:pt idx="8">
                  <c:v>748.137939453125</c:v>
                </c:pt>
                <c:pt idx="9">
                  <c:v>748.4244384765625</c:v>
                </c:pt>
                <c:pt idx="10">
                  <c:v>748.9956665039062</c:v>
                </c:pt>
                <c:pt idx="11">
                  <c:v>749.1813354492188</c:v>
                </c:pt>
                <c:pt idx="12">
                  <c:v>749.2926025390625</c:v>
                </c:pt>
                <c:pt idx="13">
                  <c:v>749.348876953125</c:v>
                </c:pt>
                <c:pt idx="14">
                  <c:v>749.3490600585938</c:v>
                </c:pt>
                <c:pt idx="15">
                  <c:v>749.3162841796875</c:v>
                </c:pt>
                <c:pt idx="16">
                  <c:v>749.2615356445312</c:v>
                </c:pt>
                <c:pt idx="17">
                  <c:v>749.1951904296875</c:v>
                </c:pt>
                <c:pt idx="18">
                  <c:v>749.1250610351562</c:v>
                </c:pt>
                <c:pt idx="19">
                  <c:v>749.068115234375</c:v>
                </c:pt>
                <c:pt idx="20">
                  <c:v>748.9472045898438</c:v>
                </c:pt>
                <c:pt idx="21">
                  <c:v>748.8067626953125</c:v>
                </c:pt>
                <c:pt idx="22">
                  <c:v>748.64404296875</c:v>
                </c:pt>
                <c:pt idx="23">
                  <c:v>748.4967041015625</c:v>
                </c:pt>
                <c:pt idx="24">
                  <c:v>748.3699340820312</c:v>
                </c:pt>
                <c:pt idx="25">
                  <c:v>748.252197265625</c:v>
                </c:pt>
                <c:pt idx="26">
                  <c:v>748.1610717773438</c:v>
                </c:pt>
                <c:pt idx="27">
                  <c:v>748.07373046875</c:v>
                </c:pt>
                <c:pt idx="28">
                  <c:v>748.014404296875</c:v>
                </c:pt>
                <c:pt idx="29">
                  <c:v>747.9521484375</c:v>
                </c:pt>
                <c:pt idx="30">
                  <c:v>747.9119873046875</c:v>
                </c:pt>
                <c:pt idx="31">
                  <c:v>747.8772583007812</c:v>
                </c:pt>
                <c:pt idx="32">
                  <c:v>747.833984375</c:v>
                </c:pt>
                <c:pt idx="33">
                  <c:v>747.7987670898438</c:v>
                </c:pt>
                <c:pt idx="34">
                  <c:v>747.7711181640625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RouWES!$H$47</c:f>
              <c:strCache>
                <c:ptCount val="1"/>
                <c:pt idx="0">
                  <c:v>NA res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6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dPt>
            <c:idx val="17"/>
            <c:spPr>
              <a:ln w="12700">
                <a:solidFill>
                  <a:srgbClr val="0000FF"/>
                </a:solidFill>
              </a:ln>
            </c:spPr>
            <c:marker>
              <c:symbol val="none"/>
            </c:marker>
          </c:dPt>
          <c:xVal>
            <c:numRef>
              <c:f>RouWES!$B$48:$B$115</c:f>
              <c:numCache/>
            </c:numRef>
          </c:xVal>
          <c:yVal>
            <c:numRef>
              <c:f>RouWES!$H$48:$H$115</c:f>
              <c:numCache>
                <c:ptCount val="68"/>
                <c:pt idx="0">
                  <c:v>740</c:v>
                </c:pt>
                <c:pt idx="1">
                  <c:v>740</c:v>
                </c:pt>
                <c:pt idx="2">
                  <c:v>740</c:v>
                </c:pt>
                <c:pt idx="3">
                  <c:v>740</c:v>
                </c:pt>
                <c:pt idx="4">
                  <c:v>740</c:v>
                </c:pt>
                <c:pt idx="5">
                  <c:v>740</c:v>
                </c:pt>
                <c:pt idx="6">
                  <c:v>740</c:v>
                </c:pt>
                <c:pt idx="7">
                  <c:v>740</c:v>
                </c:pt>
                <c:pt idx="8">
                  <c:v>740</c:v>
                </c:pt>
                <c:pt idx="9">
                  <c:v>740</c:v>
                </c:pt>
                <c:pt idx="10">
                  <c:v>740</c:v>
                </c:pt>
                <c:pt idx="11">
                  <c:v>740.580322265625</c:v>
                </c:pt>
                <c:pt idx="12">
                  <c:v>741.999267578125</c:v>
                </c:pt>
                <c:pt idx="13">
                  <c:v>743.575439453125</c:v>
                </c:pt>
                <c:pt idx="14">
                  <c:v>745.2598876953125</c:v>
                </c:pt>
                <c:pt idx="15">
                  <c:v>746.743896484375</c:v>
                </c:pt>
                <c:pt idx="16">
                  <c:v>747.8397827148438</c:v>
                </c:pt>
                <c:pt idx="17">
                  <c:v>748.5338134765625</c:v>
                </c:pt>
                <c:pt idx="18">
                  <c:v>748.9371337890625</c:v>
                </c:pt>
                <c:pt idx="19">
                  <c:v>749.0722045898438</c:v>
                </c:pt>
                <c:pt idx="20">
                  <c:v>749.0722045898438</c:v>
                </c:pt>
                <c:pt idx="21">
                  <c:v>749.0722045898438</c:v>
                </c:pt>
                <c:pt idx="22">
                  <c:v>749.0722045898438</c:v>
                </c:pt>
                <c:pt idx="23">
                  <c:v>749.0722045898438</c:v>
                </c:pt>
                <c:pt idx="24">
                  <c:v>749.0722045898438</c:v>
                </c:pt>
                <c:pt idx="25">
                  <c:v>749.0722045898438</c:v>
                </c:pt>
                <c:pt idx="26">
                  <c:v>749.0722045898438</c:v>
                </c:pt>
                <c:pt idx="27">
                  <c:v>749.0722045898438</c:v>
                </c:pt>
                <c:pt idx="28">
                  <c:v>749.0722045898438</c:v>
                </c:pt>
                <c:pt idx="29">
                  <c:v>749.0722045898438</c:v>
                </c:pt>
                <c:pt idx="30">
                  <c:v>749.0722045898438</c:v>
                </c:pt>
                <c:pt idx="31">
                  <c:v>749.0722045898438</c:v>
                </c:pt>
                <c:pt idx="32">
                  <c:v>749.0722045898438</c:v>
                </c:pt>
                <c:pt idx="33">
                  <c:v>749.0722045898438</c:v>
                </c:pt>
                <c:pt idx="34">
                  <c:v>749.0722045898438</c:v>
                </c:pt>
              </c:numCache>
            </c:numRef>
          </c:yVal>
          <c:smooth val="0"/>
        </c:ser>
        <c:axId val="17972290"/>
        <c:axId val="27532883"/>
      </c:scatterChart>
      <c:valAx>
        <c:axId val="221880"/>
        <c:scaling>
          <c:orientation val="minMax"/>
          <c:max val="5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1996921"/>
        <c:crosses val="autoZero"/>
        <c:crossBetween val="midCat"/>
        <c:dispUnits/>
        <c:majorUnit val="1"/>
      </c:valAx>
      <c:valAx>
        <c:axId val="1996921"/>
        <c:scaling>
          <c:orientation val="minMax"/>
          <c:max val="13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1880"/>
        <c:crosses val="autoZero"/>
        <c:crossBetween val="midCat"/>
        <c:dispUnits/>
        <c:majorUnit val="10"/>
      </c:valAx>
      <c:valAx>
        <c:axId val="17972290"/>
        <c:scaling>
          <c:orientation val="minMax"/>
        </c:scaling>
        <c:axPos val="b"/>
        <c:delete val="1"/>
        <c:majorTickMark val="in"/>
        <c:minorTickMark val="none"/>
        <c:tickLblPos val="nextTo"/>
        <c:crossAx val="27532883"/>
        <c:crosses val="max"/>
        <c:crossBetween val="midCat"/>
        <c:dispUnits/>
      </c:valAx>
      <c:valAx>
        <c:axId val="27532883"/>
        <c:scaling>
          <c:orientation val="minMax"/>
          <c:max val="750"/>
          <c:min val="740"/>
        </c:scaling>
        <c:axPos val="l"/>
        <c:delete val="0"/>
        <c:numFmt formatCode="General" sourceLinked="1"/>
        <c:majorTickMark val="in"/>
        <c:minorTickMark val="none"/>
        <c:tickLblPos val="nextTo"/>
        <c:crossAx val="17972290"/>
        <c:crosses val="max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25"/>
          <c:y val="0.333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64"/>
          <c:w val="0.94525"/>
          <c:h val="0.71025"/>
        </c:manualLayout>
      </c:layout>
      <c:scatterChart>
        <c:scatterStyle val="line"/>
        <c:varyColors val="0"/>
        <c:ser>
          <c:idx val="0"/>
          <c:order val="0"/>
          <c:tx>
            <c:v>h (m)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RouWES!$D$18:$D$29</c:f>
              <c:numCache>
                <c:ptCount val="12"/>
                <c:pt idx="0">
                  <c:v>0</c:v>
                </c:pt>
                <c:pt idx="1">
                  <c:v>8543</c:v>
                </c:pt>
                <c:pt idx="2">
                  <c:v>20034.5</c:v>
                </c:pt>
                <c:pt idx="3">
                  <c:v>34590</c:v>
                </c:pt>
                <c:pt idx="4">
                  <c:v>49698.5</c:v>
                </c:pt>
                <c:pt idx="5">
                  <c:v>65368</c:v>
                </c:pt>
                <c:pt idx="6">
                  <c:v>81606.5</c:v>
                </c:pt>
                <c:pt idx="7">
                  <c:v>98422</c:v>
                </c:pt>
                <c:pt idx="8">
                  <c:v>117016</c:v>
                </c:pt>
                <c:pt idx="9">
                  <c:v>137781.5</c:v>
                </c:pt>
                <c:pt idx="10">
                  <c:v>142099.000000001</c:v>
                </c:pt>
                <c:pt idx="11">
                  <c:v>159509.4</c:v>
                </c:pt>
              </c:numCache>
            </c:numRef>
          </c:xVal>
          <c:yVal>
            <c:numRef>
              <c:f>RouWES!$A$18:$A$29</c:f>
              <c:numCache>
                <c:ptCount val="12"/>
                <c:pt idx="0">
                  <c:v>740</c:v>
                </c:pt>
                <c:pt idx="1">
                  <c:v>741</c:v>
                </c:pt>
                <c:pt idx="2">
                  <c:v>742</c:v>
                </c:pt>
                <c:pt idx="3">
                  <c:v>743</c:v>
                </c:pt>
                <c:pt idx="4">
                  <c:v>744</c:v>
                </c:pt>
                <c:pt idx="5">
                  <c:v>745</c:v>
                </c:pt>
                <c:pt idx="6">
                  <c:v>746</c:v>
                </c:pt>
                <c:pt idx="7">
                  <c:v>747</c:v>
                </c:pt>
                <c:pt idx="8">
                  <c:v>748</c:v>
                </c:pt>
                <c:pt idx="9">
                  <c:v>749</c:v>
                </c:pt>
                <c:pt idx="10">
                  <c:v>749.2</c:v>
                </c:pt>
                <c:pt idx="11">
                  <c:v>750</c:v>
                </c:pt>
              </c:numCache>
            </c:numRef>
          </c:yVal>
          <c:smooth val="1"/>
        </c:ser>
        <c:axId val="46469356"/>
        <c:axId val="15571021"/>
      </c:scatterChart>
      <c:valAx>
        <c:axId val="46469356"/>
        <c:scaling>
          <c:orientation val="minMax"/>
          <c:max val="200000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50" b="1" i="0" u="none" baseline="0">
                    <a:latin typeface="Arial"/>
                    <a:ea typeface="Arial"/>
                    <a:cs typeface="Arial"/>
                  </a:rPr>
                  <a:t>Cota</a:t>
                </a:r>
              </a:p>
            </c:rich>
          </c:tx>
          <c:layout>
            <c:manualLayout>
              <c:xMode val="factor"/>
              <c:yMode val="factor"/>
              <c:x val="0.2335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in"/>
        <c:tickLblPos val="nextTo"/>
        <c:crossAx val="15571021"/>
        <c:crosses val="autoZero"/>
        <c:crossBetween val="midCat"/>
        <c:dispUnits/>
        <c:majorUnit val="50000"/>
        <c:minorUnit val="10000"/>
      </c:valAx>
      <c:valAx>
        <c:axId val="15571021"/>
        <c:scaling>
          <c:orientation val="minMax"/>
          <c:max val="750"/>
          <c:min val="740"/>
        </c:scaling>
        <c:axPos val="l"/>
        <c:majorGridlines/>
        <c:delete val="0"/>
        <c:numFmt formatCode="General" sourceLinked="1"/>
        <c:majorTickMark val="in"/>
        <c:minorTickMark val="in"/>
        <c:tickLblPos val="nextTo"/>
        <c:crossAx val="46469356"/>
        <c:crosses val="autoZero"/>
        <c:crossBetween val="midCat"/>
        <c:dispUnits/>
        <c:majorUnit val="2"/>
        <c:minorUnit val="0.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0.80625</cdr:x>
      <cdr:y>0.161</cdr:y>
    </cdr:from>
    <cdr:to>
      <cdr:x>0.851</cdr:x>
      <cdr:y>0.2375</cdr:y>
    </cdr:to>
    <cdr:sp textlink="Teorico!$B$8">
      <cdr:nvSpPr>
        <cdr:cNvPr id="1" name="TextBox 2"/>
        <cdr:cNvSpPr txBox="1">
          <a:spLocks noChangeArrowheads="1"/>
        </cdr:cNvSpPr>
      </cdr:nvSpPr>
      <cdr:spPr>
        <a:xfrm>
          <a:off x="3762375" y="438150"/>
          <a:ext cx="2095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f3c486db-16f4-4351-b74f-0242d4bc86f1}" type="TxLink">
            <a:rPr lang="en-US" cap="none" sz="1000" b="1" i="0" u="none" baseline="0">
              <a:latin typeface="Arial"/>
              <a:ea typeface="Arial"/>
              <a:cs typeface="Arial"/>
            </a:rPr>
            <a:t>20</a:t>
          </a:fld>
        </a:p>
      </cdr:txBody>
    </cdr:sp>
  </cdr:relSizeAnchor>
  <cdr:relSizeAnchor xmlns:cdr="http://schemas.openxmlformats.org/drawingml/2006/chartDrawing">
    <cdr:from>
      <cdr:x>0.6425</cdr:x>
      <cdr:y>0.161</cdr:y>
    </cdr:from>
    <cdr:to>
      <cdr:x>0.76475</cdr:x>
      <cdr:y>0.2375</cdr:y>
    </cdr:to>
    <cdr:sp>
      <cdr:nvSpPr>
        <cdr:cNvPr id="2" name="TextBox 3"/>
        <cdr:cNvSpPr txBox="1">
          <a:spLocks noChangeArrowheads="1"/>
        </cdr:cNvSpPr>
      </cdr:nvSpPr>
      <cdr:spPr>
        <a:xfrm>
          <a:off x="3000375" y="438150"/>
          <a:ext cx="5715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Tr (anos)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390525</xdr:colOff>
      <xdr:row>10</xdr:row>
      <xdr:rowOff>142875</xdr:rowOff>
    </xdr:from>
    <xdr:to>
      <xdr:col>11</xdr:col>
      <xdr:colOff>190500</xdr:colOff>
      <xdr:row>27</xdr:row>
      <xdr:rowOff>133350</xdr:rowOff>
    </xdr:to>
    <xdr:graphicFrame>
      <xdr:nvGraphicFramePr>
        <xdr:cNvPr id="1" name="Chart 4"/>
        <xdr:cNvGraphicFramePr/>
      </xdr:nvGraphicFramePr>
      <xdr:xfrm>
        <a:off x="3200400" y="1762125"/>
        <a:ext cx="46767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0.76075</cdr:x>
      <cdr:y>0.81</cdr:y>
    </cdr:from>
    <cdr:to>
      <cdr:x>0.9725</cdr:x>
      <cdr:y>0.9365</cdr:y>
    </cdr:to>
    <cdr:sp>
      <cdr:nvSpPr>
        <cdr:cNvPr id="1" name="TextBox 1"/>
        <cdr:cNvSpPr txBox="1">
          <a:spLocks noChangeArrowheads="1"/>
        </cdr:cNvSpPr>
      </cdr:nvSpPr>
      <cdr:spPr>
        <a:xfrm>
          <a:off x="2838450" y="1333500"/>
          <a:ext cx="7905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550" b="1" i="0" u="none" baseline="0">
              <a:latin typeface="Arial"/>
              <a:ea typeface="Arial"/>
              <a:cs typeface="Arial"/>
            </a:rPr>
            <a:t>Volume m³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18</xdr:row>
      <xdr:rowOff>85725</xdr:rowOff>
    </xdr:from>
    <xdr:to>
      <xdr:col>12</xdr:col>
      <xdr:colOff>571500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3752850" y="3019425"/>
        <a:ext cx="428625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38100</xdr:colOff>
      <xdr:row>26</xdr:row>
      <xdr:rowOff>9525</xdr:rowOff>
    </xdr:from>
    <xdr:to>
      <xdr:col>23</xdr:col>
      <xdr:colOff>114300</xdr:colOff>
      <xdr:row>36</xdr:row>
      <xdr:rowOff>47625</xdr:rowOff>
    </xdr:to>
    <xdr:graphicFrame>
      <xdr:nvGraphicFramePr>
        <xdr:cNvPr id="2" name="Chart 4"/>
        <xdr:cNvGraphicFramePr/>
      </xdr:nvGraphicFramePr>
      <xdr:xfrm>
        <a:off x="10629900" y="4238625"/>
        <a:ext cx="3733800" cy="1657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isci\Calculos\AC1-2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ro"/>
      <sheetName val="SideWeir"/>
      <sheetName val="Module1"/>
      <sheetName val="WES"/>
      <sheetName val="Canal Jusante"/>
      <sheetName val="Esgot"/>
      <sheetName val="Sheet1"/>
      <sheetName val="RouWES"/>
    </sheetNames>
    <sheetDataSet>
      <sheetData sheetId="7">
        <row r="16">
          <cell r="V16" t="str">
            <v>T</v>
          </cell>
          <cell r="W16" t="str">
            <v>Qaf (m³/s)</v>
          </cell>
        </row>
        <row r="17">
          <cell r="V17">
            <v>0</v>
          </cell>
          <cell r="W17">
            <v>0</v>
          </cell>
        </row>
        <row r="18">
          <cell r="V18">
            <v>0.16666666666666666</v>
          </cell>
          <cell r="W18">
            <v>0.015</v>
          </cell>
        </row>
        <row r="19">
          <cell r="V19">
            <v>0.3333333333333333</v>
          </cell>
          <cell r="W19">
            <v>0.066</v>
          </cell>
        </row>
        <row r="20">
          <cell r="V20">
            <v>0.5</v>
          </cell>
          <cell r="W20">
            <v>0.178</v>
          </cell>
        </row>
        <row r="21">
          <cell r="V21">
            <v>0.6666666666666666</v>
          </cell>
          <cell r="W21">
            <v>0.375</v>
          </cell>
        </row>
        <row r="22">
          <cell r="V22">
            <v>0.8333333333333333</v>
          </cell>
          <cell r="W22">
            <v>0.68</v>
          </cell>
        </row>
        <row r="23">
          <cell r="V23">
            <v>0.9999999999999999</v>
          </cell>
          <cell r="W23">
            <v>1.127</v>
          </cell>
        </row>
        <row r="24">
          <cell r="V24">
            <v>1.1666666666666665</v>
          </cell>
          <cell r="W24">
            <v>1.781</v>
          </cell>
        </row>
        <row r="25">
          <cell r="V25">
            <v>1.3333333333333333</v>
          </cell>
          <cell r="W25">
            <v>2.857</v>
          </cell>
        </row>
        <row r="26">
          <cell r="V26">
            <v>1.5</v>
          </cell>
          <cell r="W26">
            <v>5.827</v>
          </cell>
        </row>
        <row r="27">
          <cell r="V27">
            <v>1.6666666666666667</v>
          </cell>
          <cell r="W27">
            <v>11.866</v>
          </cell>
        </row>
        <row r="28">
          <cell r="V28">
            <v>1.8333333333333335</v>
          </cell>
          <cell r="W28">
            <v>20.915</v>
          </cell>
        </row>
        <row r="29">
          <cell r="V29">
            <v>2</v>
          </cell>
          <cell r="W29">
            <v>31.531</v>
          </cell>
        </row>
        <row r="30">
          <cell r="V30">
            <v>2.1666666666666665</v>
          </cell>
          <cell r="W30">
            <v>41.503</v>
          </cell>
        </row>
        <row r="31">
          <cell r="V31">
            <v>2.333333333333333</v>
          </cell>
          <cell r="W31">
            <v>48.405</v>
          </cell>
        </row>
        <row r="32">
          <cell r="V32">
            <v>2.4999999999999996</v>
          </cell>
          <cell r="W32">
            <v>50.061</v>
          </cell>
        </row>
        <row r="33">
          <cell r="V33">
            <v>2.666666666666666</v>
          </cell>
          <cell r="W33">
            <v>47.414</v>
          </cell>
        </row>
        <row r="34">
          <cell r="V34">
            <v>2.8333333333333326</v>
          </cell>
          <cell r="W34">
            <v>42.397</v>
          </cell>
        </row>
        <row r="35">
          <cell r="V35">
            <v>2.999999999999999</v>
          </cell>
          <cell r="W35">
            <v>36.562</v>
          </cell>
        </row>
        <row r="36">
          <cell r="V36">
            <v>3.1666666666666656</v>
          </cell>
          <cell r="W36">
            <v>30.904</v>
          </cell>
        </row>
        <row r="37">
          <cell r="V37">
            <v>3.333333333333332</v>
          </cell>
          <cell r="W37">
            <v>25.815</v>
          </cell>
        </row>
        <row r="38">
          <cell r="V38">
            <v>3.4999999999999987</v>
          </cell>
          <cell r="W38">
            <v>21.087</v>
          </cell>
        </row>
        <row r="39">
          <cell r="V39">
            <v>3.666666666666665</v>
          </cell>
          <cell r="W39">
            <v>17.078</v>
          </cell>
        </row>
        <row r="40">
          <cell r="V40">
            <v>3.8333333333333317</v>
          </cell>
          <cell r="W40">
            <v>13.707</v>
          </cell>
        </row>
        <row r="41">
          <cell r="V41">
            <v>3.9999999999999982</v>
          </cell>
          <cell r="W41">
            <v>10.876</v>
          </cell>
        </row>
        <row r="42">
          <cell r="V42">
            <v>4.166666666666665</v>
          </cell>
          <cell r="W42">
            <v>8.609</v>
          </cell>
        </row>
        <row r="43">
          <cell r="V43">
            <v>4.333333333333332</v>
          </cell>
          <cell r="W43">
            <v>6.823</v>
          </cell>
        </row>
        <row r="44">
          <cell r="V44">
            <v>4.499999999999999</v>
          </cell>
          <cell r="W44">
            <v>5.393</v>
          </cell>
        </row>
        <row r="45">
          <cell r="V45">
            <v>4.666666666666666</v>
          </cell>
          <cell r="W45">
            <v>4.249</v>
          </cell>
        </row>
        <row r="46">
          <cell r="V46">
            <v>4.833333333333333</v>
          </cell>
          <cell r="W46">
            <v>3.342</v>
          </cell>
        </row>
        <row r="47">
          <cell r="V47">
            <v>5</v>
          </cell>
          <cell r="W47">
            <v>2.636</v>
          </cell>
        </row>
        <row r="48">
          <cell r="V48">
            <v>5.166666666666667</v>
          </cell>
          <cell r="W48">
            <v>2.096</v>
          </cell>
        </row>
        <row r="49">
          <cell r="V49">
            <v>5.333333333333334</v>
          </cell>
          <cell r="W49">
            <v>1.655</v>
          </cell>
        </row>
        <row r="50">
          <cell r="V50">
            <v>5.500000000000001</v>
          </cell>
          <cell r="W50">
            <v>1.308</v>
          </cell>
        </row>
        <row r="51">
          <cell r="V51">
            <v>5.666666666666668</v>
          </cell>
          <cell r="W51">
            <v>1.038</v>
          </cell>
        </row>
        <row r="52">
          <cell r="V52">
            <v>5.833333333333335</v>
          </cell>
          <cell r="W52">
            <v>0.822</v>
          </cell>
        </row>
        <row r="53">
          <cell r="V53">
            <v>6.000000000000002</v>
          </cell>
          <cell r="W53">
            <v>0.648</v>
          </cell>
        </row>
        <row r="54">
          <cell r="V54">
            <v>6.166666666666669</v>
          </cell>
          <cell r="W54">
            <v>0.508</v>
          </cell>
        </row>
        <row r="55">
          <cell r="V55">
            <v>6.333333333333336</v>
          </cell>
          <cell r="W55">
            <v>0.389</v>
          </cell>
        </row>
        <row r="56">
          <cell r="V56">
            <v>6.500000000000003</v>
          </cell>
          <cell r="W56">
            <v>0.294</v>
          </cell>
        </row>
        <row r="57">
          <cell r="V57">
            <v>6.66666666666667</v>
          </cell>
          <cell r="W57">
            <v>0.216</v>
          </cell>
        </row>
        <row r="58">
          <cell r="V58">
            <v>6.833333333333337</v>
          </cell>
          <cell r="W58">
            <v>0.129</v>
          </cell>
        </row>
        <row r="59">
          <cell r="V59">
            <v>7.0000000000000036</v>
          </cell>
          <cell r="W59">
            <v>0.073</v>
          </cell>
        </row>
        <row r="60">
          <cell r="V60">
            <v>7.1666666666666705</v>
          </cell>
          <cell r="W60">
            <v>0.044</v>
          </cell>
        </row>
        <row r="61">
          <cell r="V61">
            <v>7.3333333333333375</v>
          </cell>
          <cell r="W61">
            <v>0.027</v>
          </cell>
        </row>
        <row r="62">
          <cell r="V62">
            <v>7.500000000000004</v>
          </cell>
          <cell r="W62">
            <v>0.017</v>
          </cell>
        </row>
        <row r="63">
          <cell r="V63">
            <v>7.666666666666671</v>
          </cell>
          <cell r="W63">
            <v>0.01</v>
          </cell>
        </row>
        <row r="64">
          <cell r="V64">
            <v>7.833333333333338</v>
          </cell>
          <cell r="W64">
            <v>0.006</v>
          </cell>
        </row>
        <row r="65">
          <cell r="V65">
            <v>8.000000000000005</v>
          </cell>
          <cell r="W65">
            <v>0.003</v>
          </cell>
        </row>
        <row r="66">
          <cell r="V66">
            <v>8.166666666666671</v>
          </cell>
          <cell r="W66">
            <v>0.001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G44"/>
  <sheetViews>
    <sheetView workbookViewId="0" topLeftCell="A1">
      <selection activeCell="C21" sqref="C21"/>
    </sheetView>
  </sheetViews>
  <sheetFormatPr defaultColWidth="9.140625" defaultRowHeight="12.75"/>
  <cols>
    <col min="1" max="1" width="19.421875" style="0" customWidth="1"/>
    <col min="2" max="2" width="9.57421875" style="0" bestFit="1" customWidth="1"/>
    <col min="3" max="3" width="13.140625" style="0" bestFit="1" customWidth="1"/>
  </cols>
  <sheetData>
    <row r="1" spans="1:3" ht="12.75">
      <c r="A1" s="10" t="s">
        <v>9</v>
      </c>
      <c r="B1" s="20">
        <f>(MAX(B11:B43)-C2)/MAX(B11:B43)</f>
        <v>0.7807512266259329</v>
      </c>
      <c r="C1" s="20"/>
    </row>
    <row r="2" spans="1:32" ht="12.75">
      <c r="A2" s="16" t="s">
        <v>10</v>
      </c>
      <c r="B2" s="10">
        <v>0.25</v>
      </c>
      <c r="C2" s="21">
        <f>C6+C3</f>
        <v>7.336984801944457</v>
      </c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ht="12.75">
      <c r="A3" s="10" t="s">
        <v>8</v>
      </c>
      <c r="B3" s="10"/>
      <c r="C3" s="19">
        <f>C7/COUNT(C11:C80)/3600/$B$2</f>
        <v>9.799269514051751E-16</v>
      </c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</row>
    <row r="4" spans="1:33" ht="12.75">
      <c r="A4" s="10" t="s">
        <v>0</v>
      </c>
      <c r="B4" s="10"/>
      <c r="C4">
        <v>150000</v>
      </c>
      <c r="S4" s="35"/>
      <c r="T4" s="35"/>
      <c r="U4" s="35"/>
      <c r="V4" s="35"/>
      <c r="W4" s="2"/>
      <c r="X4" s="2"/>
      <c r="Y4" s="2"/>
      <c r="Z4" s="2"/>
      <c r="AA4" s="2"/>
      <c r="AB4" s="2"/>
      <c r="AC4" s="2"/>
      <c r="AD4" s="2"/>
      <c r="AE4" s="2"/>
      <c r="AF4" s="2"/>
      <c r="AG4" s="3"/>
    </row>
    <row r="5" spans="1:32" ht="12.75">
      <c r="A5" s="10" t="s">
        <v>1</v>
      </c>
      <c r="B5" s="17">
        <f>SUM(B11:B80)*3600*$B$2</f>
        <v>251959.8383235001</v>
      </c>
      <c r="C5" s="17">
        <f>SUM(C11:C80)*3600*$B$2</f>
        <v>101959.83832350008</v>
      </c>
      <c r="S5" s="2"/>
      <c r="T5" s="2"/>
      <c r="U5" s="2"/>
      <c r="V5" s="2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ht="12.75">
      <c r="A6" s="10" t="s">
        <v>2</v>
      </c>
      <c r="B6" s="18">
        <f>+MAX(B11:B80)</f>
        <v>33.4642</v>
      </c>
      <c r="C6" s="18">
        <f>IF(ISERROR(C2),1,C2)</f>
        <v>7.336984801944457</v>
      </c>
      <c r="S6" s="4"/>
      <c r="T6" s="5"/>
      <c r="U6" s="5"/>
      <c r="V6" s="5"/>
      <c r="W6" s="6"/>
      <c r="X6" s="6"/>
      <c r="Y6" s="1"/>
      <c r="Z6" s="1"/>
      <c r="AA6" s="1"/>
      <c r="AB6" s="4"/>
      <c r="AC6" s="4"/>
      <c r="AD6" s="4"/>
      <c r="AE6" s="4"/>
      <c r="AF6" s="4"/>
    </row>
    <row r="7" spans="1:32" ht="12.75">
      <c r="A7" s="10" t="s">
        <v>3</v>
      </c>
      <c r="B7" s="10"/>
      <c r="C7" s="17">
        <f>(B5-C4-C5)</f>
        <v>1.4551915228366852E-11</v>
      </c>
      <c r="S7" s="4"/>
      <c r="T7" s="5"/>
      <c r="U7" s="5"/>
      <c r="V7" s="5"/>
      <c r="W7" s="6"/>
      <c r="X7" s="6"/>
      <c r="Y7" s="1"/>
      <c r="Z7" s="1"/>
      <c r="AA7" s="1"/>
      <c r="AB7" s="4"/>
      <c r="AC7" s="4"/>
      <c r="AD7" s="4"/>
      <c r="AE7" s="4"/>
      <c r="AF7" s="4"/>
    </row>
    <row r="8" spans="1:32" ht="12.75">
      <c r="A8" s="11" t="s">
        <v>4</v>
      </c>
      <c r="B8" s="34">
        <v>20</v>
      </c>
      <c r="C8" s="34"/>
      <c r="S8" s="4"/>
      <c r="T8" s="5"/>
      <c r="U8" s="5"/>
      <c r="V8" s="5"/>
      <c r="W8" s="6"/>
      <c r="X8" s="6"/>
      <c r="Y8" s="1"/>
      <c r="Z8" s="1"/>
      <c r="AA8" s="1"/>
      <c r="AB8" s="4"/>
      <c r="AC8" s="4"/>
      <c r="AD8" s="4"/>
      <c r="AE8" s="4"/>
      <c r="AF8" s="4"/>
    </row>
    <row r="9" spans="1:32" ht="12.75">
      <c r="A9" s="11" t="s">
        <v>5</v>
      </c>
      <c r="B9" s="12" t="s">
        <v>6</v>
      </c>
      <c r="C9" s="12" t="s">
        <v>7</v>
      </c>
      <c r="S9" s="4"/>
      <c r="T9" s="4"/>
      <c r="U9" s="4"/>
      <c r="V9" s="4"/>
      <c r="W9" s="7"/>
      <c r="X9" s="1"/>
      <c r="Y9" s="1"/>
      <c r="Z9" s="1"/>
      <c r="AA9" s="1"/>
      <c r="AB9" s="1"/>
      <c r="AC9" s="1"/>
      <c r="AD9" s="1"/>
      <c r="AE9" s="1"/>
      <c r="AF9" s="1"/>
    </row>
    <row r="10" spans="1:32" ht="12.75">
      <c r="A10" s="11"/>
      <c r="B10" s="12"/>
      <c r="C10" s="12"/>
      <c r="S10" s="4"/>
      <c r="T10" s="4"/>
      <c r="U10" s="4"/>
      <c r="V10" s="4"/>
      <c r="W10" s="7"/>
      <c r="X10" s="1"/>
      <c r="Y10" s="1"/>
      <c r="Z10" s="1"/>
      <c r="AA10" s="1"/>
      <c r="AB10" s="1"/>
      <c r="AC10" s="1"/>
      <c r="AD10" s="1"/>
      <c r="AE10" s="1"/>
      <c r="AF10" s="1"/>
    </row>
    <row r="11" spans="1:32" ht="12.75">
      <c r="A11" s="11">
        <v>0</v>
      </c>
      <c r="B11" s="15">
        <v>0</v>
      </c>
      <c r="C11" s="13">
        <f aca="true" t="shared" si="0" ref="C11:C43">IF(B11&gt;C$6,C$6,B11)</f>
        <v>0</v>
      </c>
      <c r="S11" s="4"/>
      <c r="T11" s="4"/>
      <c r="U11" s="4"/>
      <c r="V11" s="4"/>
      <c r="W11" s="7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2.75">
      <c r="A12" s="11">
        <f>+A11+$B$2</f>
        <v>0.25</v>
      </c>
      <c r="B12" s="15">
        <v>0.017995875</v>
      </c>
      <c r="C12" s="13">
        <f t="shared" si="0"/>
        <v>0.017995875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" ht="12.75">
      <c r="A13" s="11">
        <f aca="true" t="shared" si="1" ref="A13:A43">+A12+$B$2</f>
        <v>0.5</v>
      </c>
      <c r="B13" s="15">
        <v>0.08745399</v>
      </c>
      <c r="C13" s="13">
        <f t="shared" si="0"/>
        <v>0.08745399</v>
      </c>
    </row>
    <row r="14" spans="1:22" ht="12.75">
      <c r="A14" s="11">
        <f t="shared" si="1"/>
        <v>0.75</v>
      </c>
      <c r="B14" s="15">
        <v>0.21232341999999998</v>
      </c>
      <c r="C14" s="13">
        <f t="shared" si="0"/>
        <v>0.21232341999999998</v>
      </c>
      <c r="S14" s="2"/>
      <c r="T14" s="2"/>
      <c r="U14" s="2"/>
      <c r="V14" s="8"/>
    </row>
    <row r="15" spans="1:3" ht="12.75">
      <c r="A15" s="11">
        <f t="shared" si="1"/>
        <v>1</v>
      </c>
      <c r="B15" s="15">
        <v>0.44737820000000006</v>
      </c>
      <c r="C15" s="13">
        <f t="shared" si="0"/>
        <v>0.44737820000000006</v>
      </c>
    </row>
    <row r="16" spans="1:3" ht="12.75">
      <c r="A16" s="11">
        <f t="shared" si="1"/>
        <v>1.25</v>
      </c>
      <c r="B16" s="15">
        <v>3.3900024</v>
      </c>
      <c r="C16" s="13">
        <f t="shared" si="0"/>
        <v>3.3900024</v>
      </c>
    </row>
    <row r="17" spans="1:3" ht="12.75">
      <c r="A17" s="11">
        <f t="shared" si="1"/>
        <v>1.5</v>
      </c>
      <c r="B17" s="15">
        <v>12.591369</v>
      </c>
      <c r="C17" s="13">
        <f t="shared" si="0"/>
        <v>7.336984801944457</v>
      </c>
    </row>
    <row r="18" spans="1:3" ht="12.75">
      <c r="A18" s="11">
        <f t="shared" si="1"/>
        <v>1.75</v>
      </c>
      <c r="B18" s="15">
        <v>24.679150999999997</v>
      </c>
      <c r="C18" s="13">
        <f t="shared" si="0"/>
        <v>7.336984801944457</v>
      </c>
    </row>
    <row r="19" spans="1:3" ht="12.75">
      <c r="A19" s="11">
        <f t="shared" si="1"/>
        <v>2</v>
      </c>
      <c r="B19" s="15">
        <v>32.15557</v>
      </c>
      <c r="C19" s="13">
        <f t="shared" si="0"/>
        <v>7.336984801944457</v>
      </c>
    </row>
    <row r="20" spans="1:3" ht="12.75">
      <c r="A20" s="11">
        <f t="shared" si="1"/>
        <v>2.25</v>
      </c>
      <c r="B20" s="15">
        <v>33.4642</v>
      </c>
      <c r="C20" s="13">
        <f t="shared" si="0"/>
        <v>7.336984801944457</v>
      </c>
    </row>
    <row r="21" spans="1:3" ht="12.75">
      <c r="A21" s="11">
        <f t="shared" si="1"/>
        <v>2.5</v>
      </c>
      <c r="B21" s="15">
        <v>31.374409999999997</v>
      </c>
      <c r="C21" s="13">
        <f t="shared" si="0"/>
        <v>7.336984801944457</v>
      </c>
    </row>
    <row r="22" spans="1:3" ht="12.75">
      <c r="A22" s="11">
        <f t="shared" si="1"/>
        <v>2.75</v>
      </c>
      <c r="B22" s="15">
        <v>27.844720000000002</v>
      </c>
      <c r="C22" s="13">
        <f t="shared" si="0"/>
        <v>7.336984801944457</v>
      </c>
    </row>
    <row r="23" spans="1:3" ht="12.75">
      <c r="A23" s="11">
        <f t="shared" si="1"/>
        <v>3</v>
      </c>
      <c r="B23" s="15">
        <v>24.702370000000002</v>
      </c>
      <c r="C23" s="13">
        <f t="shared" si="0"/>
        <v>7.336984801944457</v>
      </c>
    </row>
    <row r="24" spans="1:3" ht="12.75">
      <c r="A24" s="11">
        <f t="shared" si="1"/>
        <v>3.25</v>
      </c>
      <c r="B24" s="15">
        <v>20.96199</v>
      </c>
      <c r="C24" s="13">
        <f t="shared" si="0"/>
        <v>7.336984801944457</v>
      </c>
    </row>
    <row r="25" spans="1:3" ht="12.75">
      <c r="A25" s="11">
        <f t="shared" si="1"/>
        <v>3.5</v>
      </c>
      <c r="B25" s="15">
        <v>16.48016</v>
      </c>
      <c r="C25" s="13">
        <f t="shared" si="0"/>
        <v>7.336984801944457</v>
      </c>
    </row>
    <row r="26" spans="1:3" ht="12.75">
      <c r="A26" s="11">
        <f t="shared" si="1"/>
        <v>3.75</v>
      </c>
      <c r="B26" s="15">
        <v>13.07351</v>
      </c>
      <c r="C26" s="13">
        <f t="shared" si="0"/>
        <v>7.336984801944457</v>
      </c>
    </row>
    <row r="27" spans="1:3" ht="12.75">
      <c r="A27" s="11">
        <f t="shared" si="1"/>
        <v>4</v>
      </c>
      <c r="B27" s="15">
        <v>9.874518</v>
      </c>
      <c r="C27" s="13">
        <f t="shared" si="0"/>
        <v>7.336984801944457</v>
      </c>
    </row>
    <row r="28" spans="1:3" ht="12.75">
      <c r="A28" s="11">
        <f t="shared" si="1"/>
        <v>4.25</v>
      </c>
      <c r="B28" s="15">
        <v>7.365409</v>
      </c>
      <c r="C28" s="13">
        <f t="shared" si="0"/>
        <v>7.336984801944457</v>
      </c>
    </row>
    <row r="29" spans="1:3" ht="12.75">
      <c r="A29" s="11">
        <f t="shared" si="1"/>
        <v>4.5</v>
      </c>
      <c r="B29" s="15">
        <v>5.434125000000001</v>
      </c>
      <c r="C29" s="13">
        <f t="shared" si="0"/>
        <v>5.434125000000001</v>
      </c>
    </row>
    <row r="30" spans="1:3" ht="12.75">
      <c r="A30" s="11">
        <f t="shared" si="1"/>
        <v>4.75</v>
      </c>
      <c r="B30" s="15">
        <v>4.006059</v>
      </c>
      <c r="C30" s="13">
        <f t="shared" si="0"/>
        <v>4.006059</v>
      </c>
    </row>
    <row r="31" spans="1:3" ht="12.75">
      <c r="A31" s="11">
        <f t="shared" si="1"/>
        <v>5</v>
      </c>
      <c r="B31" s="15">
        <v>2.980793</v>
      </c>
      <c r="C31" s="13">
        <f t="shared" si="0"/>
        <v>2.980793</v>
      </c>
    </row>
    <row r="32" spans="1:3" ht="12.75">
      <c r="A32" s="11">
        <f t="shared" si="1"/>
        <v>5.25</v>
      </c>
      <c r="B32" s="15">
        <v>2.232766</v>
      </c>
      <c r="C32" s="13">
        <f t="shared" si="0"/>
        <v>2.232766</v>
      </c>
    </row>
    <row r="33" spans="1:3" ht="12.75">
      <c r="A33" s="11">
        <f t="shared" si="1"/>
        <v>5.5</v>
      </c>
      <c r="B33" s="15">
        <v>1.672012</v>
      </c>
      <c r="C33" s="13">
        <f t="shared" si="0"/>
        <v>1.672012</v>
      </c>
    </row>
    <row r="34" spans="1:3" ht="12.75">
      <c r="A34" s="11">
        <f t="shared" si="1"/>
        <v>5.75</v>
      </c>
      <c r="B34" s="15">
        <v>1.233014</v>
      </c>
      <c r="C34" s="13">
        <f t="shared" si="0"/>
        <v>1.233014</v>
      </c>
    </row>
    <row r="35" spans="1:3" ht="12.75">
      <c r="A35" s="11">
        <f t="shared" si="1"/>
        <v>6</v>
      </c>
      <c r="B35" s="15">
        <v>0.9100523</v>
      </c>
      <c r="C35" s="13">
        <f t="shared" si="0"/>
        <v>0.9100523</v>
      </c>
    </row>
    <row r="36" spans="1:3" ht="12.75">
      <c r="A36" s="11">
        <f t="shared" si="1"/>
        <v>6.25</v>
      </c>
      <c r="B36" s="15">
        <v>0.6804895</v>
      </c>
      <c r="C36" s="13">
        <f t="shared" si="0"/>
        <v>0.6804895</v>
      </c>
    </row>
    <row r="37" spans="1:3" ht="12.75">
      <c r="A37" s="11">
        <f t="shared" si="1"/>
        <v>6.5</v>
      </c>
      <c r="B37" s="15">
        <v>0.5127043</v>
      </c>
      <c r="C37" s="13">
        <f t="shared" si="0"/>
        <v>0.5127043</v>
      </c>
    </row>
    <row r="38" spans="1:3" ht="12.75">
      <c r="A38" s="11">
        <f t="shared" si="1"/>
        <v>6.75</v>
      </c>
      <c r="B38" s="15">
        <v>0.3871009</v>
      </c>
      <c r="C38" s="13">
        <f t="shared" si="0"/>
        <v>0.3871009</v>
      </c>
    </row>
    <row r="39" spans="1:3" ht="12.75">
      <c r="A39" s="11">
        <f t="shared" si="1"/>
        <v>7</v>
      </c>
      <c r="B39" s="15">
        <v>0.2901747</v>
      </c>
      <c r="C39" s="13">
        <f t="shared" si="0"/>
        <v>0.2901747</v>
      </c>
    </row>
    <row r="40" spans="1:3" ht="12.75">
      <c r="A40" s="11">
        <f t="shared" si="1"/>
        <v>7.25</v>
      </c>
      <c r="B40" s="15">
        <v>0.2150934</v>
      </c>
      <c r="C40" s="13">
        <f t="shared" si="0"/>
        <v>0.2150934</v>
      </c>
    </row>
    <row r="41" spans="1:3" ht="12.75">
      <c r="A41" s="11">
        <f t="shared" si="1"/>
        <v>7.5</v>
      </c>
      <c r="B41" s="15">
        <v>0.1574645</v>
      </c>
      <c r="C41" s="13">
        <f t="shared" si="0"/>
        <v>0.1574645</v>
      </c>
    </row>
    <row r="42" spans="1:3" ht="12.75">
      <c r="A42" s="11">
        <f t="shared" si="1"/>
        <v>7.75</v>
      </c>
      <c r="B42" s="15">
        <v>0.1126467</v>
      </c>
      <c r="C42" s="13">
        <f t="shared" si="0"/>
        <v>0.1126467</v>
      </c>
    </row>
    <row r="43" spans="1:3" ht="12.75">
      <c r="A43" s="11">
        <f t="shared" si="1"/>
        <v>8</v>
      </c>
      <c r="B43" s="15">
        <v>0.26524243999999997</v>
      </c>
      <c r="C43" s="13">
        <f t="shared" si="0"/>
        <v>0.26524243999999997</v>
      </c>
    </row>
    <row r="44" spans="1:3" ht="12.75">
      <c r="A44" s="11"/>
      <c r="B44" s="9">
        <v>0.14310729</v>
      </c>
      <c r="C44" s="14"/>
    </row>
  </sheetData>
  <mergeCells count="9">
    <mergeCell ref="B8:C8"/>
    <mergeCell ref="S4:V4"/>
    <mergeCell ref="AA3:AB3"/>
    <mergeCell ref="AC3:AD3"/>
    <mergeCell ref="AE3:AF3"/>
    <mergeCell ref="S3:T3"/>
    <mergeCell ref="U3:V3"/>
    <mergeCell ref="W3:X3"/>
    <mergeCell ref="Y3:Z3"/>
  </mergeCells>
  <printOptions/>
  <pageMargins left="0.75" right="0.75" top="1" bottom="1" header="0.5" footer="0.5"/>
  <pageSetup fitToHeight="1" fitToWidth="1" horizontalDpi="300" verticalDpi="300" orientation="landscape" paperSize="9" scale="79" r:id="rId2"/>
  <headerFooter alignWithMargins="0">
    <oddHeader>&amp;LReservatório TC-3&amp;R&amp;D&amp;A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X82"/>
  <sheetViews>
    <sheetView tabSelected="1" zoomScale="95" zoomScaleNormal="95" workbookViewId="0" topLeftCell="A1">
      <selection activeCell="I13" sqref="I13"/>
    </sheetView>
  </sheetViews>
  <sheetFormatPr defaultColWidth="9.140625" defaultRowHeight="12.75"/>
  <cols>
    <col min="1" max="1" width="9.28125" style="0" bestFit="1" customWidth="1"/>
    <col min="3" max="3" width="9.28125" style="0" bestFit="1" customWidth="1"/>
    <col min="4" max="4" width="10.00390625" style="0" bestFit="1" customWidth="1"/>
    <col min="11" max="14" width="9.7109375" style="0" customWidth="1"/>
  </cols>
  <sheetData>
    <row r="1" ht="12.75">
      <c r="A1" t="s">
        <v>57</v>
      </c>
    </row>
    <row r="2" spans="8:11" ht="12.75">
      <c r="H2" t="s">
        <v>11</v>
      </c>
      <c r="K2">
        <v>747.3</v>
      </c>
    </row>
    <row r="3" spans="8:11" ht="12.75">
      <c r="H3" t="s">
        <v>12</v>
      </c>
      <c r="K3">
        <v>749.2</v>
      </c>
    </row>
    <row r="5" spans="6:11" ht="12.75">
      <c r="F5" t="s">
        <v>13</v>
      </c>
      <c r="K5" t="s">
        <v>14</v>
      </c>
    </row>
    <row r="6" spans="6:14" ht="12.75">
      <c r="F6" t="s">
        <v>15</v>
      </c>
      <c r="I6">
        <v>43</v>
      </c>
      <c r="K6" t="s">
        <v>15</v>
      </c>
      <c r="N6">
        <v>55</v>
      </c>
    </row>
    <row r="7" spans="6:22" ht="12.75">
      <c r="F7" t="s">
        <v>16</v>
      </c>
      <c r="H7" t="s">
        <v>17</v>
      </c>
      <c r="I7">
        <f>I12-K2</f>
        <v>1.7000000000000455</v>
      </c>
      <c r="K7" t="s">
        <v>16</v>
      </c>
      <c r="M7" t="s">
        <v>17</v>
      </c>
      <c r="N7">
        <f>N12-K2</f>
        <v>0.40000000000009095</v>
      </c>
      <c r="U7" t="s">
        <v>53</v>
      </c>
      <c r="V7">
        <f>+(MAX(A18:A38)-U10)/25</f>
        <v>0.1719599999999991</v>
      </c>
    </row>
    <row r="8" spans="6:17" ht="12.75">
      <c r="F8" t="s">
        <v>18</v>
      </c>
      <c r="I8">
        <v>0</v>
      </c>
      <c r="K8" t="s">
        <v>18</v>
      </c>
      <c r="N8">
        <v>0</v>
      </c>
      <c r="Q8" t="s">
        <v>19</v>
      </c>
    </row>
    <row r="9" spans="6:24" ht="12.75">
      <c r="F9" t="s">
        <v>20</v>
      </c>
      <c r="I9">
        <v>0.5</v>
      </c>
      <c r="K9" t="s">
        <v>20</v>
      </c>
      <c r="N9">
        <v>1.5</v>
      </c>
      <c r="Q9" t="s">
        <v>21</v>
      </c>
      <c r="R9" t="s">
        <v>22</v>
      </c>
      <c r="U9" t="s">
        <v>52</v>
      </c>
      <c r="V9" t="s">
        <v>54</v>
      </c>
      <c r="W9" t="s">
        <v>55</v>
      </c>
      <c r="X9" t="s">
        <v>56</v>
      </c>
    </row>
    <row r="10" spans="6:24" ht="12.75">
      <c r="F10" t="s">
        <v>23</v>
      </c>
      <c r="I10">
        <v>0.4</v>
      </c>
      <c r="K10" t="s">
        <v>23</v>
      </c>
      <c r="M10">
        <v>0.35</v>
      </c>
      <c r="N10">
        <v>0.38</v>
      </c>
      <c r="Q10" t="s">
        <v>24</v>
      </c>
      <c r="R10">
        <v>0.3</v>
      </c>
      <c r="U10" s="27">
        <f>+MIN(K18,F18)</f>
        <v>747.701</v>
      </c>
      <c r="V10">
        <f>+pint($F$18:$F$38,$I$18:$I$38,U10)</f>
        <v>0</v>
      </c>
      <c r="W10">
        <f>+pint($K$18:$K$38,$N$18:$N$38,U10)</f>
        <v>0.0007984070107340813</v>
      </c>
      <c r="X10">
        <f>+V10+W10</f>
        <v>0.0007984070107340813</v>
      </c>
    </row>
    <row r="11" spans="6:24" ht="12.75">
      <c r="F11" t="s">
        <v>25</v>
      </c>
      <c r="I11">
        <v>15</v>
      </c>
      <c r="K11" t="s">
        <v>25</v>
      </c>
      <c r="N11">
        <v>15</v>
      </c>
      <c r="U11" s="27">
        <f aca="true" t="shared" si="0" ref="U11:U35">+U10+$V$7</f>
        <v>747.87296</v>
      </c>
      <c r="V11">
        <f aca="true" t="shared" si="1" ref="V11:V35">+pint($F$18:$F$38,$I$18:$I$38,U11)</f>
        <v>0</v>
      </c>
      <c r="W11">
        <f aca="true" t="shared" si="2" ref="W11:W35">+pint($K$18:$K$38,$N$18:$N$38,U11)</f>
        <v>1.8647335767745972</v>
      </c>
      <c r="X11">
        <f aca="true" t="shared" si="3" ref="X11:X35">+V11+W11</f>
        <v>1.8647335767745972</v>
      </c>
    </row>
    <row r="12" spans="1:24" ht="12.75">
      <c r="A12" s="31" t="s">
        <v>26</v>
      </c>
      <c r="B12" s="31"/>
      <c r="C12" s="31"/>
      <c r="D12" s="31"/>
      <c r="F12" t="s">
        <v>27</v>
      </c>
      <c r="I12">
        <v>749</v>
      </c>
      <c r="K12" t="s">
        <v>27</v>
      </c>
      <c r="N12">
        <f>+K3-N9</f>
        <v>747.7</v>
      </c>
      <c r="U12" s="27">
        <f t="shared" si="0"/>
        <v>748.04492</v>
      </c>
      <c r="V12">
        <f t="shared" si="1"/>
        <v>0</v>
      </c>
      <c r="W12">
        <f t="shared" si="2"/>
        <v>5.154218673706055</v>
      </c>
      <c r="X12">
        <f t="shared" si="3"/>
        <v>5.154218673706055</v>
      </c>
    </row>
    <row r="13" spans="1:24" ht="12.75">
      <c r="A13" s="31" t="s">
        <v>28</v>
      </c>
      <c r="B13" s="31">
        <v>740</v>
      </c>
      <c r="C13" s="31"/>
      <c r="D13" s="31"/>
      <c r="F13" t="s">
        <v>29</v>
      </c>
      <c r="I13">
        <v>0.05</v>
      </c>
      <c r="K13" t="s">
        <v>29</v>
      </c>
      <c r="N13">
        <v>0.1</v>
      </c>
      <c r="U13" s="27">
        <f t="shared" si="0"/>
        <v>748.2168800000001</v>
      </c>
      <c r="V13">
        <f t="shared" si="1"/>
        <v>0</v>
      </c>
      <c r="W13">
        <f t="shared" si="2"/>
        <v>9.39905071258545</v>
      </c>
      <c r="X13">
        <f t="shared" si="3"/>
        <v>9.39905071258545</v>
      </c>
    </row>
    <row r="14" spans="1:24" ht="12.75">
      <c r="A14" s="31" t="s">
        <v>24</v>
      </c>
      <c r="B14" s="31">
        <v>1</v>
      </c>
      <c r="C14" s="31"/>
      <c r="D14" s="31"/>
      <c r="F14" t="s">
        <v>30</v>
      </c>
      <c r="I14" s="22">
        <v>120</v>
      </c>
      <c r="K14" t="s">
        <v>30</v>
      </c>
      <c r="M14">
        <v>1</v>
      </c>
      <c r="N14" s="22">
        <v>15</v>
      </c>
      <c r="U14" s="27">
        <f t="shared" si="0"/>
        <v>748.3888400000001</v>
      </c>
      <c r="V14">
        <f t="shared" si="1"/>
        <v>0</v>
      </c>
      <c r="W14">
        <f t="shared" si="2"/>
        <v>14.447261810302734</v>
      </c>
      <c r="X14">
        <f t="shared" si="3"/>
        <v>14.447261810302734</v>
      </c>
    </row>
    <row r="15" spans="1:24" ht="13.5" thickBot="1">
      <c r="A15" s="31" t="s">
        <v>31</v>
      </c>
      <c r="B15" s="31"/>
      <c r="C15" s="31"/>
      <c r="D15" s="31"/>
      <c r="U15" s="27">
        <f t="shared" si="0"/>
        <v>748.5608000000001</v>
      </c>
      <c r="V15">
        <f t="shared" si="1"/>
        <v>0</v>
      </c>
      <c r="W15">
        <f t="shared" si="2"/>
        <v>20.188419342041016</v>
      </c>
      <c r="X15">
        <f t="shared" si="3"/>
        <v>20.188419342041016</v>
      </c>
    </row>
    <row r="16" spans="1:24" ht="13.5" thickTop="1">
      <c r="A16" s="31"/>
      <c r="B16" s="31"/>
      <c r="C16" s="31"/>
      <c r="D16" s="31"/>
      <c r="I16">
        <f>+B13</f>
        <v>740</v>
      </c>
      <c r="N16">
        <f>+I16</f>
        <v>740</v>
      </c>
      <c r="Q16" s="23" t="s">
        <v>4</v>
      </c>
      <c r="R16" s="24">
        <v>50</v>
      </c>
      <c r="U16" s="27">
        <f t="shared" si="0"/>
        <v>748.7327600000001</v>
      </c>
      <c r="V16">
        <f t="shared" si="1"/>
        <v>0</v>
      </c>
      <c r="W16">
        <f t="shared" si="2"/>
        <v>26.519784927368164</v>
      </c>
      <c r="X16">
        <f t="shared" si="3"/>
        <v>26.519784927368164</v>
      </c>
    </row>
    <row r="17" spans="1:24" ht="12.75">
      <c r="A17" s="32" t="s">
        <v>32</v>
      </c>
      <c r="B17" s="32" t="s">
        <v>33</v>
      </c>
      <c r="C17" s="32" t="s">
        <v>34</v>
      </c>
      <c r="D17" s="32" t="s">
        <v>35</v>
      </c>
      <c r="F17" t="s">
        <v>32</v>
      </c>
      <c r="G17" t="s">
        <v>33</v>
      </c>
      <c r="I17" t="s">
        <v>36</v>
      </c>
      <c r="K17" t="s">
        <v>32</v>
      </c>
      <c r="L17" t="s">
        <v>33</v>
      </c>
      <c r="N17" t="s">
        <v>36</v>
      </c>
      <c r="Q17" s="25" t="s">
        <v>5</v>
      </c>
      <c r="R17" s="26" t="s">
        <v>37</v>
      </c>
      <c r="U17" s="27">
        <f t="shared" si="0"/>
        <v>748.9047200000001</v>
      </c>
      <c r="V17">
        <f t="shared" si="1"/>
        <v>0</v>
      </c>
      <c r="W17">
        <f t="shared" si="2"/>
        <v>33.388389587402344</v>
      </c>
      <c r="X17">
        <f t="shared" si="3"/>
        <v>33.388389587402344</v>
      </c>
    </row>
    <row r="18" spans="1:24" ht="12.75">
      <c r="A18" s="31">
        <v>740</v>
      </c>
      <c r="B18" s="31"/>
      <c r="C18" s="31">
        <v>8384</v>
      </c>
      <c r="D18" s="31">
        <v>0</v>
      </c>
      <c r="F18" s="27">
        <f aca="true" t="shared" si="4" ref="F18:F38">$I$12+G18</f>
        <v>749</v>
      </c>
      <c r="G18" s="27">
        <v>0</v>
      </c>
      <c r="H18" s="27"/>
      <c r="I18" s="27">
        <f>$I$10*$I$14*SQRT(19.62)*(G18)^1.5</f>
        <v>0</v>
      </c>
      <c r="K18" s="28">
        <f aca="true" t="shared" si="5" ref="K18:K38">$N$12+L18</f>
        <v>747.701</v>
      </c>
      <c r="L18" s="28">
        <v>0.001</v>
      </c>
      <c r="M18" s="28"/>
      <c r="N18" s="28">
        <f>+$N$10*$N$14*SQRT(19.62)*L18^1.5</f>
        <v>0.0007984070390471269</v>
      </c>
      <c r="Q18" s="25">
        <v>0</v>
      </c>
      <c r="R18" s="29">
        <v>0</v>
      </c>
      <c r="U18" s="27">
        <f t="shared" si="0"/>
        <v>749.0766800000001</v>
      </c>
      <c r="V18">
        <f t="shared" si="1"/>
        <v>4.696198463439941</v>
      </c>
      <c r="W18">
        <f t="shared" si="2"/>
        <v>40.79638671875</v>
      </c>
      <c r="X18">
        <f t="shared" si="3"/>
        <v>45.49258518218994</v>
      </c>
    </row>
    <row r="19" spans="1:24" ht="12.75">
      <c r="A19" s="31">
        <f aca="true" t="shared" si="6" ref="A19:A27">A18+$B$14</f>
        <v>741</v>
      </c>
      <c r="B19" s="31"/>
      <c r="C19" s="31">
        <v>8702</v>
      </c>
      <c r="D19" s="31">
        <f aca="true" t="shared" si="7" ref="D19:D29">D18+(C18+C19)/2*(A19-A18)</f>
        <v>8543</v>
      </c>
      <c r="F19" s="27">
        <f t="shared" si="4"/>
        <v>749.05</v>
      </c>
      <c r="G19" s="27">
        <f aca="true" t="shared" si="8" ref="G19:G38">G18+$I$13</f>
        <v>0.05</v>
      </c>
      <c r="H19" s="27"/>
      <c r="I19" s="27">
        <f aca="true" t="shared" si="9" ref="I19:I38">$I$10*$I$14*SQRT(19.62)*(G19)^1.5</f>
        <v>2.3770906587675618</v>
      </c>
      <c r="K19" s="28">
        <f t="shared" si="5"/>
        <v>747.801</v>
      </c>
      <c r="L19" s="28">
        <f aca="true" t="shared" si="10" ref="L19:L38">L18+$N$13</f>
        <v>0.101</v>
      </c>
      <c r="M19" s="28"/>
      <c r="N19" s="28">
        <f aca="true" t="shared" si="11" ref="N19:N38">+$N$10*$N$14*SQRT(19.62)*L19^1.5</f>
        <v>0.8104130351825546</v>
      </c>
      <c r="Q19" s="25">
        <f aca="true" t="shared" si="12" ref="Q19:Q50">Q18+$R$10</f>
        <v>0.3</v>
      </c>
      <c r="R19" s="29">
        <v>0</v>
      </c>
      <c r="U19" s="27">
        <f t="shared" si="0"/>
        <v>749.2486400000001</v>
      </c>
      <c r="V19">
        <f t="shared" si="1"/>
        <v>26.373605728149414</v>
      </c>
      <c r="W19">
        <f t="shared" si="2"/>
        <v>48.67702102661133</v>
      </c>
      <c r="X19">
        <f t="shared" si="3"/>
        <v>75.05062675476074</v>
      </c>
    </row>
    <row r="20" spans="1:24" ht="12.75">
      <c r="A20" s="31">
        <f t="shared" si="6"/>
        <v>742</v>
      </c>
      <c r="B20" s="31"/>
      <c r="C20" s="31">
        <v>14281</v>
      </c>
      <c r="D20" s="31">
        <f t="shared" si="7"/>
        <v>20034.5</v>
      </c>
      <c r="F20" s="27">
        <f t="shared" si="4"/>
        <v>749.1</v>
      </c>
      <c r="G20" s="27">
        <f t="shared" si="8"/>
        <v>0.1</v>
      </c>
      <c r="H20" s="27"/>
      <c r="I20" s="27">
        <f t="shared" si="9"/>
        <v>6.723427697238963</v>
      </c>
      <c r="K20" s="28">
        <f t="shared" si="5"/>
        <v>747.9010000000001</v>
      </c>
      <c r="L20" s="28">
        <f t="shared" si="10"/>
        <v>0.201</v>
      </c>
      <c r="M20" s="28"/>
      <c r="N20" s="28">
        <f t="shared" si="11"/>
        <v>2.275194050127109</v>
      </c>
      <c r="Q20" s="25">
        <f t="shared" si="12"/>
        <v>0.6</v>
      </c>
      <c r="R20" s="29">
        <v>0</v>
      </c>
      <c r="U20" s="27">
        <f t="shared" si="0"/>
        <v>749.4206000000001</v>
      </c>
      <c r="V20">
        <f t="shared" si="1"/>
        <v>58.0643310546875</v>
      </c>
      <c r="W20">
        <f t="shared" si="2"/>
        <v>56.9940185546875</v>
      </c>
      <c r="X20">
        <f t="shared" si="3"/>
        <v>115.058349609375</v>
      </c>
    </row>
    <row r="21" spans="1:24" ht="12.75">
      <c r="A21" s="31">
        <f t="shared" si="6"/>
        <v>743</v>
      </c>
      <c r="B21" s="31"/>
      <c r="C21" s="31">
        <v>14830</v>
      </c>
      <c r="D21" s="31">
        <f t="shared" si="7"/>
        <v>34590</v>
      </c>
      <c r="F21" s="27">
        <f t="shared" si="4"/>
        <v>749.15</v>
      </c>
      <c r="G21" s="27">
        <f t="shared" si="8"/>
        <v>0.15000000000000002</v>
      </c>
      <c r="H21" s="27"/>
      <c r="I21" s="27">
        <f t="shared" si="9"/>
        <v>12.351725385548376</v>
      </c>
      <c r="K21" s="28">
        <f t="shared" si="5"/>
        <v>748.0010000000001</v>
      </c>
      <c r="L21" s="28">
        <f t="shared" si="10"/>
        <v>0.30100000000000005</v>
      </c>
      <c r="M21" s="28"/>
      <c r="N21" s="28">
        <f t="shared" si="11"/>
        <v>4.16940517003011</v>
      </c>
      <c r="Q21" s="25">
        <f t="shared" si="12"/>
        <v>0.8999999999999999</v>
      </c>
      <c r="R21" s="29">
        <v>0</v>
      </c>
      <c r="U21" s="27">
        <f t="shared" si="0"/>
        <v>749.5925600000002</v>
      </c>
      <c r="V21">
        <f t="shared" si="1"/>
        <v>97.02751159667969</v>
      </c>
      <c r="W21">
        <f t="shared" si="2"/>
        <v>65.74172973632812</v>
      </c>
      <c r="X21">
        <f t="shared" si="3"/>
        <v>162.7692413330078</v>
      </c>
    </row>
    <row r="22" spans="1:24" ht="12.75">
      <c r="A22" s="31">
        <f t="shared" si="6"/>
        <v>744</v>
      </c>
      <c r="B22" s="31"/>
      <c r="C22" s="31">
        <v>15387</v>
      </c>
      <c r="D22" s="31">
        <f t="shared" si="7"/>
        <v>49698.5</v>
      </c>
      <c r="F22" s="27">
        <f t="shared" si="4"/>
        <v>749.2</v>
      </c>
      <c r="G22" s="27">
        <f t="shared" si="8"/>
        <v>0.2</v>
      </c>
      <c r="H22" s="27"/>
      <c r="I22" s="27">
        <f t="shared" si="9"/>
        <v>19.0167252701405</v>
      </c>
      <c r="K22" s="28">
        <f t="shared" si="5"/>
        <v>748.101</v>
      </c>
      <c r="L22" s="28">
        <f t="shared" si="10"/>
        <v>0.401</v>
      </c>
      <c r="M22" s="28"/>
      <c r="N22" s="28">
        <f t="shared" si="11"/>
        <v>6.411223487448694</v>
      </c>
      <c r="Q22" s="25">
        <f t="shared" si="12"/>
        <v>1.2</v>
      </c>
      <c r="R22" s="29">
        <v>0.903</v>
      </c>
      <c r="U22" s="27">
        <f t="shared" si="0"/>
        <v>749.7645200000002</v>
      </c>
      <c r="V22">
        <f t="shared" si="1"/>
        <v>142.1757049560547</v>
      </c>
      <c r="W22">
        <f t="shared" si="2"/>
        <v>74.82704162597656</v>
      </c>
      <c r="X22">
        <f t="shared" si="3"/>
        <v>217.00274658203125</v>
      </c>
    </row>
    <row r="23" spans="1:24" ht="12.75">
      <c r="A23" s="31">
        <f t="shared" si="6"/>
        <v>745</v>
      </c>
      <c r="B23" s="31"/>
      <c r="C23" s="31">
        <v>15952</v>
      </c>
      <c r="D23" s="31">
        <f t="shared" si="7"/>
        <v>65368</v>
      </c>
      <c r="F23" s="27">
        <f t="shared" si="4"/>
        <v>749.25</v>
      </c>
      <c r="G23" s="27">
        <f t="shared" si="8"/>
        <v>0.25</v>
      </c>
      <c r="H23" s="27"/>
      <c r="I23" s="27">
        <f t="shared" si="9"/>
        <v>26.57668150842013</v>
      </c>
      <c r="K23" s="28">
        <f t="shared" si="5"/>
        <v>748.201</v>
      </c>
      <c r="L23" s="28">
        <f t="shared" si="10"/>
        <v>0.501</v>
      </c>
      <c r="M23" s="28"/>
      <c r="N23" s="28">
        <f t="shared" si="11"/>
        <v>8.953254836547087</v>
      </c>
      <c r="Q23" s="25">
        <f t="shared" si="12"/>
        <v>1.5</v>
      </c>
      <c r="R23" s="29">
        <v>15.635</v>
      </c>
      <c r="U23" s="27">
        <f t="shared" si="0"/>
        <v>749.9364800000002</v>
      </c>
      <c r="V23">
        <f t="shared" si="1"/>
        <v>192.7114715576172</v>
      </c>
      <c r="W23">
        <f t="shared" si="2"/>
        <v>83.9241943359375</v>
      </c>
      <c r="X23">
        <f t="shared" si="3"/>
        <v>276.6356658935547</v>
      </c>
    </row>
    <row r="24" spans="1:24" ht="12.75">
      <c r="A24" s="31">
        <f t="shared" si="6"/>
        <v>746</v>
      </c>
      <c r="B24" s="31"/>
      <c r="C24" s="31">
        <v>16525</v>
      </c>
      <c r="D24" s="31">
        <f t="shared" si="7"/>
        <v>81606.5</v>
      </c>
      <c r="F24" s="27">
        <f t="shared" si="4"/>
        <v>749.3</v>
      </c>
      <c r="G24" s="27">
        <f t="shared" si="8"/>
        <v>0.3</v>
      </c>
      <c r="H24" s="27"/>
      <c r="I24" s="27">
        <f t="shared" si="9"/>
        <v>34.93595511790109</v>
      </c>
      <c r="K24" s="28">
        <f t="shared" si="5"/>
        <v>748.301</v>
      </c>
      <c r="L24" s="28">
        <f t="shared" si="10"/>
        <v>0.601</v>
      </c>
      <c r="M24" s="28"/>
      <c r="N24" s="28">
        <f t="shared" si="11"/>
        <v>11.763486683730033</v>
      </c>
      <c r="Q24" s="25">
        <f t="shared" si="12"/>
        <v>1.8</v>
      </c>
      <c r="R24" s="29">
        <v>59.118</v>
      </c>
      <c r="U24" s="27">
        <f t="shared" si="0"/>
        <v>750.1084400000002</v>
      </c>
      <c r="V24">
        <f t="shared" si="1"/>
        <v>246.77566528320312</v>
      </c>
      <c r="W24">
        <f t="shared" si="2"/>
        <v>93.02458190917969</v>
      </c>
      <c r="X24">
        <f t="shared" si="3"/>
        <v>339.8002471923828</v>
      </c>
    </row>
    <row r="25" spans="1:24" ht="12.75">
      <c r="A25" s="31">
        <f t="shared" si="6"/>
        <v>747</v>
      </c>
      <c r="B25" s="31"/>
      <c r="C25" s="31">
        <v>17106</v>
      </c>
      <c r="D25" s="31">
        <f t="shared" si="7"/>
        <v>98422</v>
      </c>
      <c r="F25" s="27">
        <f t="shared" si="4"/>
        <v>749.35</v>
      </c>
      <c r="G25" s="27">
        <f t="shared" si="8"/>
        <v>0.35</v>
      </c>
      <c r="H25" s="27"/>
      <c r="I25" s="27">
        <f t="shared" si="9"/>
        <v>44.02433508867566</v>
      </c>
      <c r="K25" s="28">
        <f t="shared" si="5"/>
        <v>748.4010000000001</v>
      </c>
      <c r="L25" s="28">
        <f t="shared" si="10"/>
        <v>0.701</v>
      </c>
      <c r="M25" s="28"/>
      <c r="N25" s="28">
        <f t="shared" si="11"/>
        <v>14.818402402972927</v>
      </c>
      <c r="Q25" s="25">
        <f t="shared" si="12"/>
        <v>2.1</v>
      </c>
      <c r="R25" s="29">
        <v>98.361</v>
      </c>
      <c r="U25" s="27">
        <f t="shared" si="0"/>
        <v>750.2804000000002</v>
      </c>
      <c r="V25">
        <f t="shared" si="1"/>
        <v>300.9315185546875</v>
      </c>
      <c r="W25">
        <f t="shared" si="2"/>
        <v>102.12173461914062</v>
      </c>
      <c r="X25">
        <f t="shared" si="3"/>
        <v>403.0532531738281</v>
      </c>
    </row>
    <row r="26" spans="1:24" ht="12.75">
      <c r="A26" s="31">
        <f t="shared" si="6"/>
        <v>748</v>
      </c>
      <c r="B26" s="31"/>
      <c r="C26" s="31">
        <v>20082</v>
      </c>
      <c r="D26" s="31">
        <f t="shared" si="7"/>
        <v>117016</v>
      </c>
      <c r="F26" s="27">
        <f t="shared" si="4"/>
        <v>749.4</v>
      </c>
      <c r="G26" s="27">
        <f t="shared" si="8"/>
        <v>0.39999999999999997</v>
      </c>
      <c r="H26" s="27"/>
      <c r="I26" s="27">
        <f t="shared" si="9"/>
        <v>53.78742157791169</v>
      </c>
      <c r="K26" s="28">
        <f t="shared" si="5"/>
        <v>748.5010000000001</v>
      </c>
      <c r="L26" s="28">
        <f t="shared" si="10"/>
        <v>0.8009999999999999</v>
      </c>
      <c r="M26" s="28"/>
      <c r="N26" s="28">
        <f t="shared" si="11"/>
        <v>18.099773131798468</v>
      </c>
      <c r="Q26" s="25">
        <f t="shared" si="12"/>
        <v>2.4</v>
      </c>
      <c r="R26" s="29">
        <v>98.431</v>
      </c>
      <c r="U26" s="27">
        <f t="shared" si="0"/>
        <v>750.4523600000002</v>
      </c>
      <c r="V26">
        <f t="shared" si="1"/>
        <v>355.08740234375</v>
      </c>
      <c r="W26">
        <f t="shared" si="2"/>
        <v>111.21888732910156</v>
      </c>
      <c r="X26">
        <f t="shared" si="3"/>
        <v>466.30628967285156</v>
      </c>
    </row>
    <row r="27" spans="1:24" ht="12.75">
      <c r="A27" s="31">
        <f t="shared" si="6"/>
        <v>749</v>
      </c>
      <c r="B27" s="31"/>
      <c r="C27" s="31">
        <v>21449</v>
      </c>
      <c r="D27" s="31">
        <f t="shared" si="7"/>
        <v>137781.5</v>
      </c>
      <c r="F27" s="27">
        <f t="shared" si="4"/>
        <v>749.45</v>
      </c>
      <c r="G27" s="27">
        <f t="shared" si="8"/>
        <v>0.44999999999999996</v>
      </c>
      <c r="H27" s="27"/>
      <c r="I27" s="27">
        <f t="shared" si="9"/>
        <v>64.18144778672416</v>
      </c>
      <c r="K27" s="28">
        <f t="shared" si="5"/>
        <v>748.601</v>
      </c>
      <c r="L27" s="28">
        <f t="shared" si="10"/>
        <v>0.9009999999999999</v>
      </c>
      <c r="M27" s="28"/>
      <c r="N27" s="28">
        <f t="shared" si="11"/>
        <v>21.59292834927013</v>
      </c>
      <c r="Q27" s="25">
        <f t="shared" si="12"/>
        <v>2.6999999999999997</v>
      </c>
      <c r="R27" s="29">
        <v>75.507</v>
      </c>
      <c r="U27" s="27">
        <f t="shared" si="0"/>
        <v>750.6243200000002</v>
      </c>
      <c r="V27">
        <f t="shared" si="1"/>
        <v>409.2624816894531</v>
      </c>
      <c r="W27">
        <f t="shared" si="2"/>
        <v>120.31926727294922</v>
      </c>
      <c r="X27">
        <f t="shared" si="3"/>
        <v>529.5817489624023</v>
      </c>
    </row>
    <row r="28" spans="1:24" ht="12.75">
      <c r="A28" s="31">
        <f>A27+0.2</f>
        <v>749.2</v>
      </c>
      <c r="B28" s="31"/>
      <c r="C28" s="31">
        <v>21726</v>
      </c>
      <c r="D28" s="31">
        <f t="shared" si="7"/>
        <v>142099.000000001</v>
      </c>
      <c r="F28" s="27">
        <f t="shared" si="4"/>
        <v>749.5</v>
      </c>
      <c r="G28" s="27">
        <f t="shared" si="8"/>
        <v>0.49999999999999994</v>
      </c>
      <c r="H28" s="27"/>
      <c r="I28" s="27">
        <f t="shared" si="9"/>
        <v>75.17020686415596</v>
      </c>
      <c r="K28" s="28">
        <f t="shared" si="5"/>
        <v>748.701</v>
      </c>
      <c r="L28" s="28">
        <f t="shared" si="10"/>
        <v>1.001</v>
      </c>
      <c r="M28" s="28"/>
      <c r="N28" s="28">
        <f t="shared" si="11"/>
        <v>25.285728670514</v>
      </c>
      <c r="Q28" s="25">
        <f t="shared" si="12"/>
        <v>2.9999999999999996</v>
      </c>
      <c r="R28" s="29">
        <v>53.807</v>
      </c>
      <c r="U28" s="27">
        <f t="shared" si="0"/>
        <v>750.7962800000003</v>
      </c>
      <c r="V28">
        <f t="shared" si="1"/>
        <v>463.4183349609375</v>
      </c>
      <c r="W28">
        <f t="shared" si="2"/>
        <v>129.4164276123047</v>
      </c>
      <c r="X28">
        <f t="shared" si="3"/>
        <v>592.8347625732422</v>
      </c>
    </row>
    <row r="29" spans="1:24" ht="12.75">
      <c r="A29" s="31">
        <v>752</v>
      </c>
      <c r="B29" s="31"/>
      <c r="C29" s="31">
        <v>21800</v>
      </c>
      <c r="D29" s="31">
        <f t="shared" si="7"/>
        <v>203035.4</v>
      </c>
      <c r="F29" s="27">
        <f t="shared" si="4"/>
        <v>749.55</v>
      </c>
      <c r="G29" s="27">
        <f t="shared" si="8"/>
        <v>0.5499999999999999</v>
      </c>
      <c r="H29" s="27"/>
      <c r="I29" s="27">
        <f t="shared" si="9"/>
        <v>86.72309588569819</v>
      </c>
      <c r="K29" s="28">
        <f t="shared" si="5"/>
        <v>748.801</v>
      </c>
      <c r="L29" s="28">
        <f t="shared" si="10"/>
        <v>1.101</v>
      </c>
      <c r="M29" s="28"/>
      <c r="N29" s="28">
        <f t="shared" si="11"/>
        <v>29.167911638116877</v>
      </c>
      <c r="Q29" s="25">
        <f t="shared" si="12"/>
        <v>3.2999999999999994</v>
      </c>
      <c r="R29" s="29">
        <v>37.758</v>
      </c>
      <c r="U29" s="27">
        <f t="shared" si="0"/>
        <v>750.9682400000003</v>
      </c>
      <c r="V29">
        <f t="shared" si="1"/>
        <v>517.5934448242188</v>
      </c>
      <c r="W29">
        <f t="shared" si="2"/>
        <v>138.5167999267578</v>
      </c>
      <c r="X29">
        <f t="shared" si="3"/>
        <v>656.1102447509766</v>
      </c>
    </row>
    <row r="30" spans="1:24" ht="12.75">
      <c r="A30" s="31"/>
      <c r="B30" s="31"/>
      <c r="C30" s="31"/>
      <c r="D30" s="31"/>
      <c r="F30" s="27">
        <f t="shared" si="4"/>
        <v>749.6</v>
      </c>
      <c r="G30" s="27">
        <f t="shared" si="8"/>
        <v>0.6</v>
      </c>
      <c r="H30" s="27"/>
      <c r="I30" s="27">
        <f t="shared" si="9"/>
        <v>98.81380308438695</v>
      </c>
      <c r="K30" s="28">
        <f t="shared" si="5"/>
        <v>748.9010000000001</v>
      </c>
      <c r="L30" s="28">
        <f t="shared" si="10"/>
        <v>1.201</v>
      </c>
      <c r="M30" s="28"/>
      <c r="N30" s="28">
        <f t="shared" si="11"/>
        <v>33.23065245051824</v>
      </c>
      <c r="Q30" s="25">
        <f t="shared" si="12"/>
        <v>3.599999999999999</v>
      </c>
      <c r="R30" s="29">
        <v>25.334</v>
      </c>
      <c r="U30" s="27">
        <f t="shared" si="0"/>
        <v>751.1402000000003</v>
      </c>
      <c r="V30">
        <f t="shared" si="1"/>
        <v>571.749267578125</v>
      </c>
      <c r="W30">
        <f t="shared" si="2"/>
        <v>147.61395263671875</v>
      </c>
      <c r="X30">
        <f t="shared" si="3"/>
        <v>719.3632202148438</v>
      </c>
    </row>
    <row r="31" spans="1:24" ht="12.75">
      <c r="A31" s="31"/>
      <c r="B31" s="31"/>
      <c r="C31" s="31"/>
      <c r="D31" s="31"/>
      <c r="F31" s="27">
        <f t="shared" si="4"/>
        <v>749.65</v>
      </c>
      <c r="G31" s="27">
        <f t="shared" si="8"/>
        <v>0.65</v>
      </c>
      <c r="H31" s="27"/>
      <c r="I31" s="27">
        <f t="shared" si="9"/>
        <v>111.4193893359679</v>
      </c>
      <c r="K31" s="28">
        <f t="shared" si="5"/>
        <v>749.0010000000001</v>
      </c>
      <c r="L31" s="28">
        <f t="shared" si="10"/>
        <v>1.3010000000000002</v>
      </c>
      <c r="M31" s="28"/>
      <c r="N31" s="28">
        <f t="shared" si="11"/>
        <v>37.46625649932582</v>
      </c>
      <c r="Q31" s="25">
        <f t="shared" si="12"/>
        <v>3.899999999999999</v>
      </c>
      <c r="R31" s="29">
        <v>15.966</v>
      </c>
      <c r="U31" s="27">
        <f t="shared" si="0"/>
        <v>751.3121600000003</v>
      </c>
      <c r="V31">
        <f t="shared" si="1"/>
        <v>625.9051513671875</v>
      </c>
      <c r="W31">
        <f t="shared" si="2"/>
        <v>156.71112060546875</v>
      </c>
      <c r="X31">
        <f t="shared" si="3"/>
        <v>782.6162719726562</v>
      </c>
    </row>
    <row r="32" spans="1:24" ht="12.75">
      <c r="A32" s="31"/>
      <c r="B32" s="31"/>
      <c r="C32" s="31"/>
      <c r="D32" s="31"/>
      <c r="F32" s="27">
        <f t="shared" si="4"/>
        <v>749.7</v>
      </c>
      <c r="G32" s="27">
        <f t="shared" si="8"/>
        <v>0.7000000000000001</v>
      </c>
      <c r="H32" s="27"/>
      <c r="I32" s="27">
        <f t="shared" si="9"/>
        <v>124.51962351372575</v>
      </c>
      <c r="K32" s="28">
        <f t="shared" si="5"/>
        <v>749.101</v>
      </c>
      <c r="L32" s="28">
        <f t="shared" si="10"/>
        <v>1.4010000000000002</v>
      </c>
      <c r="M32" s="28"/>
      <c r="N32" s="28">
        <f t="shared" si="11"/>
        <v>41.86793681909123</v>
      </c>
      <c r="Q32" s="25">
        <f t="shared" si="12"/>
        <v>4.199999999999999</v>
      </c>
      <c r="R32" s="29">
        <v>9.746</v>
      </c>
      <c r="U32" s="27">
        <f t="shared" si="0"/>
        <v>751.4841200000003</v>
      </c>
      <c r="V32">
        <f t="shared" si="1"/>
        <v>680.0802612304688</v>
      </c>
      <c r="W32">
        <f t="shared" si="2"/>
        <v>165.81149291992188</v>
      </c>
      <c r="X32">
        <f t="shared" si="3"/>
        <v>845.8917541503906</v>
      </c>
    </row>
    <row r="33" spans="1:24" ht="12.75">
      <c r="A33" s="31"/>
      <c r="B33" s="31"/>
      <c r="C33" s="31"/>
      <c r="D33" s="31"/>
      <c r="F33" s="27">
        <f t="shared" si="4"/>
        <v>749.75</v>
      </c>
      <c r="G33" s="27">
        <f t="shared" si="8"/>
        <v>0.7500000000000001</v>
      </c>
      <c r="H33" s="27"/>
      <c r="I33" s="27">
        <f t="shared" si="9"/>
        <v>138.0964880074798</v>
      </c>
      <c r="K33" s="28">
        <f t="shared" si="5"/>
        <v>749.201</v>
      </c>
      <c r="L33" s="28">
        <f t="shared" si="10"/>
        <v>1.5010000000000003</v>
      </c>
      <c r="M33" s="28"/>
      <c r="N33" s="28">
        <f t="shared" si="11"/>
        <v>46.429648473034504</v>
      </c>
      <c r="Q33" s="25">
        <f t="shared" si="12"/>
        <v>4.499999999999999</v>
      </c>
      <c r="R33" s="29">
        <v>5.866</v>
      </c>
      <c r="U33" s="27">
        <f t="shared" si="0"/>
        <v>751.6560800000003</v>
      </c>
      <c r="V33">
        <f t="shared" si="1"/>
        <v>734.236083984375</v>
      </c>
      <c r="W33">
        <f t="shared" si="2"/>
        <v>174.9086456298828</v>
      </c>
      <c r="X33">
        <f t="shared" si="3"/>
        <v>909.1447296142578</v>
      </c>
    </row>
    <row r="34" spans="1:24" ht="12.75">
      <c r="A34" s="31"/>
      <c r="B34" s="31"/>
      <c r="C34" s="31"/>
      <c r="D34" s="31"/>
      <c r="F34" s="27">
        <f t="shared" si="4"/>
        <v>749.8</v>
      </c>
      <c r="G34" s="27">
        <f t="shared" si="8"/>
        <v>0.8000000000000002</v>
      </c>
      <c r="H34" s="27"/>
      <c r="I34" s="27">
        <f t="shared" si="9"/>
        <v>152.133802161124</v>
      </c>
      <c r="K34" s="28">
        <f t="shared" si="5"/>
        <v>749.301</v>
      </c>
      <c r="L34" s="28">
        <f t="shared" si="10"/>
        <v>1.6010000000000004</v>
      </c>
      <c r="M34" s="28"/>
      <c r="N34" s="28">
        <f t="shared" si="11"/>
        <v>51.145962405645435</v>
      </c>
      <c r="Q34" s="25">
        <f t="shared" si="12"/>
        <v>4.799999999999999</v>
      </c>
      <c r="R34" s="29">
        <v>3.533</v>
      </c>
      <c r="U34" s="27">
        <f t="shared" si="0"/>
        <v>751.8280400000003</v>
      </c>
      <c r="V34">
        <f t="shared" si="1"/>
        <v>788.4111938476562</v>
      </c>
      <c r="W34">
        <f t="shared" si="2"/>
        <v>184.009033203125</v>
      </c>
      <c r="X34">
        <f t="shared" si="3"/>
        <v>972.4202270507812</v>
      </c>
    </row>
    <row r="35" spans="1:24" ht="12.75">
      <c r="A35" s="31"/>
      <c r="B35" s="31"/>
      <c r="C35" s="31"/>
      <c r="D35" s="31"/>
      <c r="F35" s="27">
        <f t="shared" si="4"/>
        <v>749.85</v>
      </c>
      <c r="G35" s="27">
        <f t="shared" si="8"/>
        <v>0.8500000000000002</v>
      </c>
      <c r="H35" s="27"/>
      <c r="I35" s="27">
        <f t="shared" si="9"/>
        <v>166.61692975205136</v>
      </c>
      <c r="K35" s="28">
        <f t="shared" si="5"/>
        <v>749.4010000000001</v>
      </c>
      <c r="L35" s="28">
        <f t="shared" si="10"/>
        <v>1.7010000000000005</v>
      </c>
      <c r="M35" s="28"/>
      <c r="N35" s="28">
        <f t="shared" si="11"/>
        <v>56.01196743105742</v>
      </c>
      <c r="Q35" s="25">
        <f t="shared" si="12"/>
        <v>5.099999999999999</v>
      </c>
      <c r="R35" s="29">
        <v>2.149</v>
      </c>
      <c r="U35" s="27">
        <f t="shared" si="0"/>
        <v>752.0000000000003</v>
      </c>
      <c r="V35">
        <f t="shared" si="1"/>
        <v>842.5670776367188</v>
      </c>
      <c r="W35">
        <f t="shared" si="2"/>
        <v>193.10618591308594</v>
      </c>
      <c r="X35">
        <f t="shared" si="3"/>
        <v>1035.6732635498047</v>
      </c>
    </row>
    <row r="36" spans="1:21" ht="12.75">
      <c r="A36" s="31"/>
      <c r="B36" s="31"/>
      <c r="C36" s="31"/>
      <c r="D36" s="31"/>
      <c r="F36" s="27">
        <f t="shared" si="4"/>
        <v>749.9</v>
      </c>
      <c r="G36" s="27">
        <f t="shared" si="8"/>
        <v>0.9000000000000002</v>
      </c>
      <c r="H36" s="27"/>
      <c r="I36" s="27">
        <f t="shared" si="9"/>
        <v>181.53254782545204</v>
      </c>
      <c r="K36" s="28">
        <f t="shared" si="5"/>
        <v>749.5010000000001</v>
      </c>
      <c r="L36" s="28">
        <f t="shared" si="10"/>
        <v>1.8010000000000006</v>
      </c>
      <c r="M36" s="28"/>
      <c r="N36" s="28">
        <f t="shared" si="11"/>
        <v>61.023192766553755</v>
      </c>
      <c r="Q36" s="25">
        <f t="shared" si="12"/>
        <v>5.399999999999999</v>
      </c>
      <c r="R36" s="29">
        <v>1.24</v>
      </c>
      <c r="U36" s="27"/>
    </row>
    <row r="37" spans="1:21" ht="12.75">
      <c r="A37" s="31"/>
      <c r="B37" s="31"/>
      <c r="C37" s="31"/>
      <c r="D37" s="31"/>
      <c r="F37" s="27">
        <f t="shared" si="4"/>
        <v>749.95</v>
      </c>
      <c r="G37" s="27">
        <f t="shared" si="8"/>
        <v>0.9500000000000003</v>
      </c>
      <c r="H37" s="27"/>
      <c r="I37" s="27">
        <f t="shared" si="9"/>
        <v>196.86846126284433</v>
      </c>
      <c r="K37" s="28">
        <f t="shared" si="5"/>
        <v>749.601</v>
      </c>
      <c r="L37" s="28">
        <f t="shared" si="10"/>
        <v>1.9010000000000007</v>
      </c>
      <c r="M37" s="28"/>
      <c r="N37" s="28">
        <f t="shared" si="11"/>
        <v>66.17554588349174</v>
      </c>
      <c r="Q37" s="25">
        <f t="shared" si="12"/>
        <v>5.699999999999998</v>
      </c>
      <c r="R37" s="29">
        <v>0.701</v>
      </c>
      <c r="U37" s="27"/>
    </row>
    <row r="38" spans="1:21" ht="12.75">
      <c r="A38" s="31"/>
      <c r="B38" s="31"/>
      <c r="C38" s="31"/>
      <c r="D38" s="31"/>
      <c r="F38" s="27">
        <f t="shared" si="4"/>
        <v>750</v>
      </c>
      <c r="G38" s="27">
        <f t="shared" si="8"/>
        <v>1.0000000000000002</v>
      </c>
      <c r="H38" s="27"/>
      <c r="I38" s="27">
        <f t="shared" si="9"/>
        <v>212.61345206736107</v>
      </c>
      <c r="K38" s="28">
        <f t="shared" si="5"/>
        <v>749.701</v>
      </c>
      <c r="L38" s="28">
        <f t="shared" si="10"/>
        <v>2.001000000000001</v>
      </c>
      <c r="M38" s="28"/>
      <c r="N38" s="28">
        <f t="shared" si="11"/>
        <v>71.46526198762768</v>
      </c>
      <c r="Q38" s="25">
        <f t="shared" si="12"/>
        <v>5.999999999999998</v>
      </c>
      <c r="R38" s="29">
        <v>0.308</v>
      </c>
      <c r="U38" s="27"/>
    </row>
    <row r="39" spans="17:21" ht="12.75">
      <c r="Q39" s="25">
        <f t="shared" si="12"/>
        <v>6.299999999999998</v>
      </c>
      <c r="R39" s="29">
        <v>0.129</v>
      </c>
      <c r="U39" s="27"/>
    </row>
    <row r="40" spans="17:18" ht="12.75">
      <c r="Q40" s="25">
        <f t="shared" si="12"/>
        <v>6.599999999999998</v>
      </c>
      <c r="R40" s="29">
        <v>0.061</v>
      </c>
    </row>
    <row r="41" spans="1:18" ht="12.75">
      <c r="A41" t="s">
        <v>38</v>
      </c>
      <c r="I41" s="30">
        <f>(C45-I45)/C45</f>
        <v>0.4456402177788317</v>
      </c>
      <c r="Q41" s="25">
        <f t="shared" si="12"/>
        <v>6.899999999999998</v>
      </c>
      <c r="R41" s="29">
        <v>0.025</v>
      </c>
    </row>
    <row r="42" spans="1:18" ht="12.75">
      <c r="A42" t="s">
        <v>39</v>
      </c>
      <c r="B42">
        <v>600</v>
      </c>
      <c r="Q42" s="25">
        <f t="shared" si="12"/>
        <v>7.1999999999999975</v>
      </c>
      <c r="R42" s="29">
        <v>0.008</v>
      </c>
    </row>
    <row r="43" spans="1:18" ht="12.75">
      <c r="A43" t="s">
        <v>40</v>
      </c>
      <c r="B43">
        <f>N12</f>
        <v>747.7</v>
      </c>
      <c r="Q43" s="25">
        <f t="shared" si="12"/>
        <v>7.499999999999997</v>
      </c>
      <c r="R43" s="29">
        <v>0</v>
      </c>
    </row>
    <row r="44" spans="1:18" ht="12.75">
      <c r="A44" t="s">
        <v>41</v>
      </c>
      <c r="B44" s="22">
        <f>A18</f>
        <v>740</v>
      </c>
      <c r="Q44" s="25">
        <f t="shared" si="12"/>
        <v>7.799999999999997</v>
      </c>
      <c r="R44" s="29">
        <v>0</v>
      </c>
    </row>
    <row r="45" spans="2:18" ht="12.75">
      <c r="B45" t="s">
        <v>42</v>
      </c>
      <c r="C45">
        <f>MAX(C48:C115)</f>
        <v>98.41544342041016</v>
      </c>
      <c r="E45">
        <f>MAX(E48:E115)</f>
        <v>749.3490600585938</v>
      </c>
      <c r="F45">
        <f>MAX(F48:F115)</f>
        <v>43.857879638671875</v>
      </c>
      <c r="G45">
        <f>MAX(G48:G115)</f>
        <v>139339.65969085693</v>
      </c>
      <c r="H45">
        <f>MAX(H48:H115)</f>
        <v>749.0722045898438</v>
      </c>
      <c r="I45">
        <f>MAX(I48:I115)</f>
        <v>54.55756378173828</v>
      </c>
      <c r="Q45" s="25">
        <f t="shared" si="12"/>
        <v>8.099999999999998</v>
      </c>
      <c r="R45" s="29">
        <v>0</v>
      </c>
    </row>
    <row r="46" spans="17:18" ht="12.75">
      <c r="Q46" s="25">
        <f t="shared" si="12"/>
        <v>8.399999999999999</v>
      </c>
      <c r="R46" s="29">
        <v>0</v>
      </c>
    </row>
    <row r="47" spans="1:18" ht="12.75">
      <c r="A47" t="s">
        <v>43</v>
      </c>
      <c r="B47" t="s">
        <v>44</v>
      </c>
      <c r="C47" t="s">
        <v>45</v>
      </c>
      <c r="D47" t="s">
        <v>46</v>
      </c>
      <c r="E47" t="s">
        <v>47</v>
      </c>
      <c r="F47" t="s">
        <v>48</v>
      </c>
      <c r="G47" t="s">
        <v>49</v>
      </c>
      <c r="H47" t="s">
        <v>50</v>
      </c>
      <c r="I47" t="s">
        <v>51</v>
      </c>
      <c r="J47" t="s">
        <v>58</v>
      </c>
      <c r="K47" t="s">
        <v>59</v>
      </c>
      <c r="Q47" s="25">
        <f t="shared" si="12"/>
        <v>8.7</v>
      </c>
      <c r="R47" s="29">
        <v>0</v>
      </c>
    </row>
    <row r="48" spans="1:18" ht="12.75">
      <c r="A48">
        <v>0</v>
      </c>
      <c r="B48">
        <f>A48*$B$42</f>
        <v>0</v>
      </c>
      <c r="C48">
        <f>pint($Q$18:$Q$87,$R$18:$R$87,B48)</f>
        <v>0</v>
      </c>
      <c r="E48">
        <f>B43</f>
        <v>747.7</v>
      </c>
      <c r="F48">
        <f>+pint($F$18:$F$38,$I$18:$I$38,E48)*K48</f>
        <v>0</v>
      </c>
      <c r="G48">
        <f>pint(A18:A27,D18:D27,B44)</f>
        <v>0</v>
      </c>
      <c r="H48">
        <f>pint($D$18:$D$27,$A$18:$A$27,G48)</f>
        <v>740</v>
      </c>
      <c r="I48">
        <v>0</v>
      </c>
      <c r="J48">
        <f>IF(AND(E48&gt;$F$18,H48&gt;$F$18),(H48-$F$18)/(E48-$F$18),0)</f>
        <v>0</v>
      </c>
      <c r="K48">
        <f aca="true" t="shared" si="13" ref="K48:K82">IF(J48&lt;=0.675,1,IF(J48&gt;1,0,+J48*SQRT(1-J48)*9/2/SQRT(3)))</f>
        <v>1</v>
      </c>
      <c r="Q48" s="25">
        <f t="shared" si="12"/>
        <v>9</v>
      </c>
      <c r="R48" s="29">
        <v>0</v>
      </c>
    </row>
    <row r="49" spans="1:18" ht="12.75">
      <c r="A49">
        <f aca="true" t="shared" si="14" ref="A49:A82">A48+1</f>
        <v>1</v>
      </c>
      <c r="B49">
        <f aca="true" t="shared" si="15" ref="B49:B82">A49*$B$42/3600</f>
        <v>0.16666666666666666</v>
      </c>
      <c r="C49">
        <f aca="true" t="shared" si="16" ref="C49:C82">pint($Q$18:$Q$87,$R$18:$R$87,B49)</f>
        <v>0</v>
      </c>
      <c r="D49">
        <f>C48+C49-F48-I48</f>
        <v>0</v>
      </c>
      <c r="E49">
        <f>+pint($X$10:$X$35,$U$10:$U$35,D49)</f>
        <v>747.7009887695312</v>
      </c>
      <c r="F49">
        <f aca="true" t="shared" si="17" ref="F49:F63">+pint($F$18:$F$38,$I$18:$I$38,E49)*IF(ISERROR(K49),0,K49)</f>
        <v>0</v>
      </c>
      <c r="G49">
        <f>G48+(F49+F48)/2*$B$42</f>
        <v>0</v>
      </c>
      <c r="H49">
        <f>+pint($D$18:$D$38,$A$18:$A$38,G49)</f>
        <v>740</v>
      </c>
      <c r="I49">
        <f aca="true" t="shared" si="18" ref="I49:I82">C49-F49</f>
        <v>0</v>
      </c>
      <c r="J49">
        <f aca="true" t="shared" si="19" ref="J49:J82">IF(AND(E49&gt;$F$18,H49&gt;$F$18),(H49-$F$18)/(E49-$F$18),0)</f>
        <v>0</v>
      </c>
      <c r="K49">
        <f t="shared" si="13"/>
        <v>1</v>
      </c>
      <c r="Q49" s="25">
        <f t="shared" si="12"/>
        <v>9.3</v>
      </c>
      <c r="R49" s="29">
        <v>0</v>
      </c>
    </row>
    <row r="50" spans="1:18" ht="12.75">
      <c r="A50">
        <f t="shared" si="14"/>
        <v>2</v>
      </c>
      <c r="B50">
        <f t="shared" si="15"/>
        <v>0.3333333333333333</v>
      </c>
      <c r="C50">
        <f t="shared" si="16"/>
        <v>0</v>
      </c>
      <c r="D50">
        <f aca="true" t="shared" si="20" ref="D50:D82">C49+C50-F49-I49</f>
        <v>0</v>
      </c>
      <c r="E50">
        <f aca="true" t="shared" si="21" ref="E50:E82">+pint($X$10:$X$35,$U$10:$U$35,D50)</f>
        <v>747.7009887695312</v>
      </c>
      <c r="F50">
        <f t="shared" si="17"/>
        <v>0</v>
      </c>
      <c r="G50">
        <f aca="true" t="shared" si="22" ref="G50:G82">G49+(F50+F49)/2*$B$42</f>
        <v>0</v>
      </c>
      <c r="H50">
        <f aca="true" t="shared" si="23" ref="H50:H82">+pint($D$18:$D$38,$A$18:$A$38,G50)</f>
        <v>740</v>
      </c>
      <c r="I50">
        <f t="shared" si="18"/>
        <v>0</v>
      </c>
      <c r="J50">
        <f t="shared" si="19"/>
        <v>0</v>
      </c>
      <c r="K50">
        <f t="shared" si="13"/>
        <v>1</v>
      </c>
      <c r="Q50" s="25">
        <f t="shared" si="12"/>
        <v>9.600000000000001</v>
      </c>
      <c r="R50" s="29">
        <v>0</v>
      </c>
    </row>
    <row r="51" spans="1:18" ht="12.75">
      <c r="A51">
        <f t="shared" si="14"/>
        <v>3</v>
      </c>
      <c r="B51">
        <f t="shared" si="15"/>
        <v>0.5</v>
      </c>
      <c r="C51">
        <f t="shared" si="16"/>
        <v>0</v>
      </c>
      <c r="D51">
        <f t="shared" si="20"/>
        <v>0</v>
      </c>
      <c r="E51">
        <f t="shared" si="21"/>
        <v>747.7009887695312</v>
      </c>
      <c r="F51">
        <f t="shared" si="17"/>
        <v>0</v>
      </c>
      <c r="G51">
        <f t="shared" si="22"/>
        <v>0</v>
      </c>
      <c r="H51">
        <f t="shared" si="23"/>
        <v>740</v>
      </c>
      <c r="I51">
        <f t="shared" si="18"/>
        <v>0</v>
      </c>
      <c r="J51">
        <f t="shared" si="19"/>
        <v>0</v>
      </c>
      <c r="K51">
        <f t="shared" si="13"/>
        <v>1</v>
      </c>
      <c r="Q51" s="25"/>
      <c r="R51" s="29"/>
    </row>
    <row r="52" spans="1:11" ht="12.75">
      <c r="A52">
        <f t="shared" si="14"/>
        <v>4</v>
      </c>
      <c r="B52">
        <f t="shared" si="15"/>
        <v>0.6666666666666666</v>
      </c>
      <c r="C52">
        <f t="shared" si="16"/>
        <v>0</v>
      </c>
      <c r="D52">
        <f t="shared" si="20"/>
        <v>0</v>
      </c>
      <c r="E52">
        <f t="shared" si="21"/>
        <v>747.7009887695312</v>
      </c>
      <c r="F52">
        <f t="shared" si="17"/>
        <v>0</v>
      </c>
      <c r="G52">
        <f t="shared" si="22"/>
        <v>0</v>
      </c>
      <c r="H52">
        <f t="shared" si="23"/>
        <v>740</v>
      </c>
      <c r="I52">
        <f t="shared" si="18"/>
        <v>0</v>
      </c>
      <c r="J52">
        <f t="shared" si="19"/>
        <v>0</v>
      </c>
      <c r="K52">
        <f t="shared" si="13"/>
        <v>1</v>
      </c>
    </row>
    <row r="53" spans="1:11" ht="12.75">
      <c r="A53">
        <f t="shared" si="14"/>
        <v>5</v>
      </c>
      <c r="B53">
        <f t="shared" si="15"/>
        <v>0.8333333333333334</v>
      </c>
      <c r="C53">
        <f t="shared" si="16"/>
        <v>0</v>
      </c>
      <c r="D53">
        <f t="shared" si="20"/>
        <v>0</v>
      </c>
      <c r="E53">
        <f t="shared" si="21"/>
        <v>747.7009887695312</v>
      </c>
      <c r="F53">
        <f t="shared" si="17"/>
        <v>0</v>
      </c>
      <c r="G53">
        <f t="shared" si="22"/>
        <v>0</v>
      </c>
      <c r="H53">
        <f t="shared" si="23"/>
        <v>740</v>
      </c>
      <c r="I53">
        <f t="shared" si="18"/>
        <v>0</v>
      </c>
      <c r="J53">
        <f t="shared" si="19"/>
        <v>0</v>
      </c>
      <c r="K53">
        <f t="shared" si="13"/>
        <v>1</v>
      </c>
    </row>
    <row r="54" spans="1:11" ht="12.75">
      <c r="A54">
        <f t="shared" si="14"/>
        <v>6</v>
      </c>
      <c r="B54">
        <f t="shared" si="15"/>
        <v>1</v>
      </c>
      <c r="C54">
        <f t="shared" si="16"/>
        <v>0.3009999990463257</v>
      </c>
      <c r="D54">
        <f t="shared" si="20"/>
        <v>0.3009999990463257</v>
      </c>
      <c r="E54">
        <f t="shared" si="21"/>
        <v>747.7286987304688</v>
      </c>
      <c r="F54">
        <f t="shared" si="17"/>
        <v>0</v>
      </c>
      <c r="G54">
        <f t="shared" si="22"/>
        <v>0</v>
      </c>
      <c r="H54">
        <f t="shared" si="23"/>
        <v>740</v>
      </c>
      <c r="I54">
        <f t="shared" si="18"/>
        <v>0.3009999990463257</v>
      </c>
      <c r="J54">
        <f t="shared" si="19"/>
        <v>0</v>
      </c>
      <c r="K54">
        <f t="shared" si="13"/>
        <v>1</v>
      </c>
    </row>
    <row r="55" spans="1:11" ht="12.75">
      <c r="A55">
        <f t="shared" si="14"/>
        <v>7</v>
      </c>
      <c r="B55">
        <f t="shared" si="15"/>
        <v>1.1666666666666667</v>
      </c>
      <c r="C55">
        <f t="shared" si="16"/>
        <v>0.802666425704956</v>
      </c>
      <c r="D55">
        <f t="shared" si="20"/>
        <v>0.802666425704956</v>
      </c>
      <c r="E55">
        <f t="shared" si="21"/>
        <v>747.7749633789062</v>
      </c>
      <c r="F55">
        <f t="shared" si="17"/>
        <v>0</v>
      </c>
      <c r="G55">
        <f t="shared" si="22"/>
        <v>0</v>
      </c>
      <c r="H55">
        <f t="shared" si="23"/>
        <v>740</v>
      </c>
      <c r="I55">
        <f t="shared" si="18"/>
        <v>0.802666425704956</v>
      </c>
      <c r="J55">
        <f t="shared" si="19"/>
        <v>0</v>
      </c>
      <c r="K55">
        <f t="shared" si="13"/>
        <v>1</v>
      </c>
    </row>
    <row r="56" spans="1:11" ht="12.75">
      <c r="A56">
        <f t="shared" si="14"/>
        <v>8</v>
      </c>
      <c r="B56">
        <f t="shared" si="15"/>
        <v>1.3333333333333333</v>
      </c>
      <c r="C56">
        <f t="shared" si="16"/>
        <v>7.45055627822876</v>
      </c>
      <c r="D56">
        <f t="shared" si="20"/>
        <v>7.45055627822876</v>
      </c>
      <c r="E56">
        <f t="shared" si="21"/>
        <v>748.137939453125</v>
      </c>
      <c r="F56">
        <f t="shared" si="17"/>
        <v>0</v>
      </c>
      <c r="G56">
        <f t="shared" si="22"/>
        <v>0</v>
      </c>
      <c r="H56">
        <f t="shared" si="23"/>
        <v>740</v>
      </c>
      <c r="I56">
        <f t="shared" si="18"/>
        <v>7.45055627822876</v>
      </c>
      <c r="J56">
        <f t="shared" si="19"/>
        <v>0</v>
      </c>
      <c r="K56">
        <f t="shared" si="13"/>
        <v>1</v>
      </c>
    </row>
    <row r="57" spans="1:11" ht="12.75">
      <c r="A57">
        <f t="shared" si="14"/>
        <v>9</v>
      </c>
      <c r="B57">
        <f t="shared" si="15"/>
        <v>1.5</v>
      </c>
      <c r="C57">
        <f t="shared" si="16"/>
        <v>15.635000228881836</v>
      </c>
      <c r="D57">
        <f t="shared" si="20"/>
        <v>15.635000228881836</v>
      </c>
      <c r="E57">
        <f t="shared" si="21"/>
        <v>748.4244384765625</v>
      </c>
      <c r="F57">
        <f t="shared" si="17"/>
        <v>0</v>
      </c>
      <c r="G57">
        <f t="shared" si="22"/>
        <v>0</v>
      </c>
      <c r="H57">
        <f t="shared" si="23"/>
        <v>740</v>
      </c>
      <c r="I57">
        <f t="shared" si="18"/>
        <v>15.635000228881836</v>
      </c>
      <c r="J57">
        <f t="shared" si="19"/>
        <v>0</v>
      </c>
      <c r="K57">
        <f t="shared" si="13"/>
        <v>1</v>
      </c>
    </row>
    <row r="58" spans="1:11" ht="12.75">
      <c r="A58">
        <f t="shared" si="14"/>
        <v>10</v>
      </c>
      <c r="B58">
        <f t="shared" si="15"/>
        <v>1.6666666666666667</v>
      </c>
      <c r="C58">
        <f t="shared" si="16"/>
        <v>39.79222106933594</v>
      </c>
      <c r="D58">
        <f t="shared" si="20"/>
        <v>39.79222106933594</v>
      </c>
      <c r="E58">
        <f t="shared" si="21"/>
        <v>748.9956665039062</v>
      </c>
      <c r="F58">
        <f t="shared" si="17"/>
        <v>0</v>
      </c>
      <c r="G58">
        <f t="shared" si="22"/>
        <v>0</v>
      </c>
      <c r="H58">
        <f t="shared" si="23"/>
        <v>740</v>
      </c>
      <c r="I58">
        <f t="shared" si="18"/>
        <v>39.79222106933594</v>
      </c>
      <c r="J58">
        <f t="shared" si="19"/>
        <v>0</v>
      </c>
      <c r="K58">
        <f t="shared" si="13"/>
        <v>1</v>
      </c>
    </row>
    <row r="59" spans="1:11" ht="12.75">
      <c r="A59">
        <f t="shared" si="14"/>
        <v>11</v>
      </c>
      <c r="B59">
        <f t="shared" si="15"/>
        <v>1.8333333333333333</v>
      </c>
      <c r="C59">
        <f t="shared" si="16"/>
        <v>63.47834396362305</v>
      </c>
      <c r="D59">
        <f t="shared" si="20"/>
        <v>63.47834396362305</v>
      </c>
      <c r="E59">
        <f t="shared" si="21"/>
        <v>749.1813354492188</v>
      </c>
      <c r="F59">
        <f t="shared" si="17"/>
        <v>16.526506423950195</v>
      </c>
      <c r="G59">
        <f t="shared" si="22"/>
        <v>4957.951927185059</v>
      </c>
      <c r="H59">
        <f t="shared" si="23"/>
        <v>740.580322265625</v>
      </c>
      <c r="I59">
        <f t="shared" si="18"/>
        <v>46.95183753967285</v>
      </c>
      <c r="J59">
        <f t="shared" si="19"/>
        <v>0</v>
      </c>
      <c r="K59">
        <f t="shared" si="13"/>
        <v>1</v>
      </c>
    </row>
    <row r="60" spans="1:11" ht="12.75">
      <c r="A60">
        <f t="shared" si="14"/>
        <v>12</v>
      </c>
      <c r="B60">
        <f t="shared" si="15"/>
        <v>2</v>
      </c>
      <c r="C60">
        <f t="shared" si="16"/>
        <v>85.28001403808594</v>
      </c>
      <c r="D60">
        <f t="shared" si="20"/>
        <v>85.28001403808594</v>
      </c>
      <c r="E60">
        <f t="shared" si="21"/>
        <v>749.2926025390625</v>
      </c>
      <c r="F60">
        <f t="shared" si="17"/>
        <v>33.70094680786133</v>
      </c>
      <c r="G60">
        <f t="shared" si="22"/>
        <v>20026.187896728516</v>
      </c>
      <c r="H60">
        <f t="shared" si="23"/>
        <v>741.999267578125</v>
      </c>
      <c r="I60">
        <f t="shared" si="18"/>
        <v>51.57906723022461</v>
      </c>
      <c r="J60">
        <f t="shared" si="19"/>
        <v>0</v>
      </c>
      <c r="K60">
        <f t="shared" si="13"/>
        <v>1</v>
      </c>
    </row>
    <row r="61" spans="1:11" ht="12.75">
      <c r="A61">
        <f t="shared" si="14"/>
        <v>13</v>
      </c>
      <c r="B61">
        <f t="shared" si="15"/>
        <v>2.1666666666666665</v>
      </c>
      <c r="C61">
        <f t="shared" si="16"/>
        <v>98.37655639648438</v>
      </c>
      <c r="D61">
        <f t="shared" si="20"/>
        <v>98.37655639648438</v>
      </c>
      <c r="E61">
        <f t="shared" si="21"/>
        <v>749.348876953125</v>
      </c>
      <c r="F61">
        <f t="shared" si="17"/>
        <v>43.824588775634766</v>
      </c>
      <c r="G61">
        <f t="shared" si="22"/>
        <v>43283.848571777344</v>
      </c>
      <c r="H61">
        <f t="shared" si="23"/>
        <v>743.575439453125</v>
      </c>
      <c r="I61">
        <f t="shared" si="18"/>
        <v>54.55196762084961</v>
      </c>
      <c r="J61">
        <f t="shared" si="19"/>
        <v>0</v>
      </c>
      <c r="K61">
        <f t="shared" si="13"/>
        <v>1</v>
      </c>
    </row>
    <row r="62" spans="1:11" ht="12.75">
      <c r="A62">
        <f t="shared" si="14"/>
        <v>14</v>
      </c>
      <c r="B62">
        <f t="shared" si="15"/>
        <v>2.3333333333333335</v>
      </c>
      <c r="C62">
        <f t="shared" si="16"/>
        <v>98.41544342041016</v>
      </c>
      <c r="D62">
        <f t="shared" si="20"/>
        <v>98.41544342041016</v>
      </c>
      <c r="E62">
        <f t="shared" si="21"/>
        <v>749.3490600585938</v>
      </c>
      <c r="F62">
        <f t="shared" si="17"/>
        <v>43.857879638671875</v>
      </c>
      <c r="G62">
        <f t="shared" si="22"/>
        <v>69588.58909606934</v>
      </c>
      <c r="H62">
        <f t="shared" si="23"/>
        <v>745.2598876953125</v>
      </c>
      <c r="I62">
        <f t="shared" si="18"/>
        <v>54.55756378173828</v>
      </c>
      <c r="J62">
        <f t="shared" si="19"/>
        <v>0</v>
      </c>
      <c r="K62">
        <f t="shared" si="13"/>
        <v>1</v>
      </c>
    </row>
    <row r="63" spans="1:11" ht="12.75">
      <c r="A63">
        <f t="shared" si="14"/>
        <v>15</v>
      </c>
      <c r="B63">
        <f t="shared" si="15"/>
        <v>2.5</v>
      </c>
      <c r="C63">
        <f t="shared" si="16"/>
        <v>90.7896728515625</v>
      </c>
      <c r="D63">
        <f t="shared" si="20"/>
        <v>90.7896728515625</v>
      </c>
      <c r="E63">
        <f t="shared" si="21"/>
        <v>749.3162841796875</v>
      </c>
      <c r="F63">
        <f t="shared" si="17"/>
        <v>37.898834228515625</v>
      </c>
      <c r="G63">
        <f t="shared" si="22"/>
        <v>94115.60325622559</v>
      </c>
      <c r="H63">
        <f t="shared" si="23"/>
        <v>746.743896484375</v>
      </c>
      <c r="I63">
        <f t="shared" si="18"/>
        <v>52.890838623046875</v>
      </c>
      <c r="J63">
        <f t="shared" si="19"/>
        <v>0</v>
      </c>
      <c r="K63">
        <f t="shared" si="13"/>
        <v>1</v>
      </c>
    </row>
    <row r="64" spans="1:11" ht="12.75">
      <c r="A64">
        <f t="shared" si="14"/>
        <v>16</v>
      </c>
      <c r="B64">
        <f t="shared" si="15"/>
        <v>2.6666666666666665</v>
      </c>
      <c r="C64">
        <f t="shared" si="16"/>
        <v>78.05411529541016</v>
      </c>
      <c r="D64">
        <f t="shared" si="20"/>
        <v>78.05411529541016</v>
      </c>
      <c r="E64">
        <f t="shared" si="21"/>
        <v>749.2615356445312</v>
      </c>
      <c r="F64">
        <f>+pint($F$18:$F$38,$I$18:$I$38,E64)*IF(ISERROR(K64),0,K64)</f>
        <v>28.50574493408203</v>
      </c>
      <c r="G64">
        <f t="shared" si="22"/>
        <v>114036.97700500488</v>
      </c>
      <c r="H64">
        <f>+pint($D$18:$D$38,$A$18:$A$38,G64)</f>
        <v>747.8397827148438</v>
      </c>
      <c r="I64">
        <f t="shared" si="18"/>
        <v>49.548370361328125</v>
      </c>
      <c r="J64">
        <f t="shared" si="19"/>
        <v>0</v>
      </c>
      <c r="K64">
        <f t="shared" si="13"/>
        <v>1</v>
      </c>
    </row>
    <row r="65" spans="1:11" ht="12.75">
      <c r="A65">
        <f t="shared" si="14"/>
        <v>17</v>
      </c>
      <c r="B65">
        <f t="shared" si="15"/>
        <v>2.8333333333333335</v>
      </c>
      <c r="C65">
        <f t="shared" si="16"/>
        <v>65.86256408691406</v>
      </c>
      <c r="D65">
        <f t="shared" si="20"/>
        <v>65.86256408691406</v>
      </c>
      <c r="E65">
        <f t="shared" si="21"/>
        <v>749.1951904296875</v>
      </c>
      <c r="F65">
        <f aca="true" t="shared" si="24" ref="F65:F82">+pint($F$18:$F$38,$I$18:$I$38,E65)*IF(ISERROR(K65),0,K65)</f>
        <v>18.373825073242188</v>
      </c>
      <c r="G65">
        <f t="shared" si="22"/>
        <v>128100.84800720215</v>
      </c>
      <c r="H65">
        <f t="shared" si="23"/>
        <v>748.5338134765625</v>
      </c>
      <c r="I65">
        <f t="shared" si="18"/>
        <v>47.488739013671875</v>
      </c>
      <c r="J65">
        <f>IF(AND(E65&gt;$F$18,H65&gt;$F$18),(H65-$F$18)/(E65-$F$18),0)</f>
        <v>0</v>
      </c>
      <c r="K65">
        <f t="shared" si="13"/>
        <v>1</v>
      </c>
    </row>
    <row r="66" spans="1:11" ht="12.75">
      <c r="A66">
        <f t="shared" si="14"/>
        <v>18</v>
      </c>
      <c r="B66">
        <f t="shared" si="15"/>
        <v>3</v>
      </c>
      <c r="C66">
        <f t="shared" si="16"/>
        <v>53.80699920654297</v>
      </c>
      <c r="D66">
        <f t="shared" si="20"/>
        <v>53.80699920654297</v>
      </c>
      <c r="E66">
        <f t="shared" si="21"/>
        <v>749.1250610351562</v>
      </c>
      <c r="F66">
        <f t="shared" si="24"/>
        <v>9.544440269470215</v>
      </c>
      <c r="G66">
        <f>G65+(F66+F65)/2*$B$42</f>
        <v>136476.32761001587</v>
      </c>
      <c r="H66">
        <f>+pint($D$18:$D$38,$A$18:$A$38,G66)</f>
        <v>748.9371337890625</v>
      </c>
      <c r="I66">
        <f>C66-F66</f>
        <v>44.262558937072754</v>
      </c>
      <c r="J66">
        <f>IF(AND(E66&gt;$F$18,H66&gt;$F$18),(H66-$F$18)/(E66-$F$18),0)</f>
        <v>0</v>
      </c>
      <c r="K66">
        <f t="shared" si="13"/>
        <v>1</v>
      </c>
    </row>
    <row r="67" spans="1:11" ht="12.75">
      <c r="A67">
        <f t="shared" si="14"/>
        <v>19</v>
      </c>
      <c r="B67">
        <f t="shared" si="15"/>
        <v>3.1666666666666665</v>
      </c>
      <c r="C67">
        <f t="shared" si="16"/>
        <v>44.89088439941406</v>
      </c>
      <c r="D67">
        <f t="shared" si="20"/>
        <v>44.89088439941406</v>
      </c>
      <c r="E67">
        <f t="shared" si="21"/>
        <v>749.068115234375</v>
      </c>
      <c r="F67">
        <f t="shared" si="24"/>
        <v>0</v>
      </c>
      <c r="G67">
        <f>G66+(F67+F66)/2*$B$42</f>
        <v>139339.65969085693</v>
      </c>
      <c r="H67">
        <f>+pint($D$18:$D$38,$A$18:$A$38,G67)</f>
        <v>749.0722045898438</v>
      </c>
      <c r="I67">
        <f>C67-F67</f>
        <v>44.89088439941406</v>
      </c>
      <c r="J67">
        <f>IF(AND(E67&gt;$F$18,H67&gt;$F$18),(H67-$F$18)/(E67-$F$18),0)</f>
        <v>1.060035842293907</v>
      </c>
      <c r="K67">
        <f t="shared" si="13"/>
        <v>0</v>
      </c>
    </row>
    <row r="68" spans="1:11" ht="12.75">
      <c r="A68">
        <f t="shared" si="14"/>
        <v>20</v>
      </c>
      <c r="B68">
        <f t="shared" si="15"/>
        <v>3.3333333333333335</v>
      </c>
      <c r="C68">
        <f t="shared" si="16"/>
        <v>36.37755584716797</v>
      </c>
      <c r="D68">
        <f>C67+C68-F67-I67</f>
        <v>36.37755584716797</v>
      </c>
      <c r="E68">
        <f>+pint($X$10:$X$35,$U$10:$U$35,D68)</f>
        <v>748.9472045898438</v>
      </c>
      <c r="F68">
        <f t="shared" si="24"/>
        <v>0</v>
      </c>
      <c r="G68">
        <f t="shared" si="22"/>
        <v>139339.65969085693</v>
      </c>
      <c r="H68">
        <f t="shared" si="23"/>
        <v>749.0722045898438</v>
      </c>
      <c r="I68">
        <f t="shared" si="18"/>
        <v>36.37755584716797</v>
      </c>
      <c r="J68">
        <f t="shared" si="19"/>
        <v>0</v>
      </c>
      <c r="K68">
        <f t="shared" si="13"/>
        <v>1</v>
      </c>
    </row>
    <row r="69" spans="1:11" ht="12.75">
      <c r="A69">
        <f t="shared" si="14"/>
        <v>21</v>
      </c>
      <c r="B69">
        <f t="shared" si="15"/>
        <v>3.5</v>
      </c>
      <c r="C69">
        <f t="shared" si="16"/>
        <v>29.475330352783203</v>
      </c>
      <c r="D69">
        <f t="shared" si="20"/>
        <v>29.475330352783203</v>
      </c>
      <c r="E69">
        <f t="shared" si="21"/>
        <v>748.8067626953125</v>
      </c>
      <c r="F69">
        <f t="shared" si="24"/>
        <v>0</v>
      </c>
      <c r="G69">
        <f t="shared" si="22"/>
        <v>139339.65969085693</v>
      </c>
      <c r="H69">
        <f t="shared" si="23"/>
        <v>749.0722045898438</v>
      </c>
      <c r="I69">
        <f t="shared" si="18"/>
        <v>29.475330352783203</v>
      </c>
      <c r="J69">
        <f t="shared" si="19"/>
        <v>0</v>
      </c>
      <c r="K69">
        <f t="shared" si="13"/>
        <v>1</v>
      </c>
    </row>
    <row r="70" spans="1:11" ht="12.75">
      <c r="A70">
        <f t="shared" si="14"/>
        <v>22</v>
      </c>
      <c r="B70">
        <f t="shared" si="15"/>
        <v>3.6666666666666665</v>
      </c>
      <c r="C70">
        <f t="shared" si="16"/>
        <v>23.25221824645996</v>
      </c>
      <c r="D70">
        <f t="shared" si="20"/>
        <v>23.25221824645996</v>
      </c>
      <c r="E70">
        <f t="shared" si="21"/>
        <v>748.64404296875</v>
      </c>
      <c r="F70">
        <f t="shared" si="24"/>
        <v>0</v>
      </c>
      <c r="G70">
        <f>G69+(F70+F69)/2*$B$42</f>
        <v>139339.65969085693</v>
      </c>
      <c r="H70">
        <f>+pint($D$18:$D$38,$A$18:$A$38,G70)</f>
        <v>749.0722045898438</v>
      </c>
      <c r="I70">
        <f>C70-F70</f>
        <v>23.25221824645996</v>
      </c>
      <c r="J70">
        <f>IF(AND(E70&gt;$F$18,H70&gt;$F$18),(H70-$F$18)/(E70-$F$18),0)</f>
        <v>0</v>
      </c>
      <c r="K70">
        <f t="shared" si="13"/>
        <v>1</v>
      </c>
    </row>
    <row r="71" spans="1:11" ht="12.75">
      <c r="A71">
        <f t="shared" si="14"/>
        <v>23</v>
      </c>
      <c r="B71">
        <f t="shared" si="15"/>
        <v>3.8333333333333335</v>
      </c>
      <c r="C71">
        <f t="shared" si="16"/>
        <v>18.047780990600586</v>
      </c>
      <c r="D71">
        <f t="shared" si="20"/>
        <v>18.047780990600586</v>
      </c>
      <c r="E71">
        <f t="shared" si="21"/>
        <v>748.4967041015625</v>
      </c>
      <c r="F71">
        <f t="shared" si="24"/>
        <v>0</v>
      </c>
      <c r="G71">
        <f t="shared" si="22"/>
        <v>139339.65969085693</v>
      </c>
      <c r="H71">
        <f t="shared" si="23"/>
        <v>749.0722045898438</v>
      </c>
      <c r="I71">
        <f t="shared" si="18"/>
        <v>18.047780990600586</v>
      </c>
      <c r="J71">
        <f t="shared" si="19"/>
        <v>0</v>
      </c>
      <c r="K71">
        <f t="shared" si="13"/>
        <v>1</v>
      </c>
    </row>
    <row r="72" spans="1:11" ht="12.75">
      <c r="A72">
        <f t="shared" si="14"/>
        <v>24</v>
      </c>
      <c r="B72">
        <f t="shared" si="15"/>
        <v>4</v>
      </c>
      <c r="C72">
        <f t="shared" si="16"/>
        <v>13.892666816711426</v>
      </c>
      <c r="D72">
        <f t="shared" si="20"/>
        <v>13.892666816711426</v>
      </c>
      <c r="E72">
        <f t="shared" si="21"/>
        <v>748.3699340820312</v>
      </c>
      <c r="F72">
        <f t="shared" si="24"/>
        <v>0</v>
      </c>
      <c r="G72">
        <f t="shared" si="22"/>
        <v>139339.65969085693</v>
      </c>
      <c r="H72">
        <f t="shared" si="23"/>
        <v>749.0722045898438</v>
      </c>
      <c r="I72">
        <f t="shared" si="18"/>
        <v>13.892666816711426</v>
      </c>
      <c r="J72">
        <f t="shared" si="19"/>
        <v>0</v>
      </c>
      <c r="K72">
        <f t="shared" si="13"/>
        <v>1</v>
      </c>
    </row>
    <row r="73" spans="1:11" ht="12.75">
      <c r="A73">
        <f t="shared" si="14"/>
        <v>25</v>
      </c>
      <c r="B73">
        <f t="shared" si="15"/>
        <v>4.166666666666667</v>
      </c>
      <c r="C73">
        <f t="shared" si="16"/>
        <v>10.437110900878906</v>
      </c>
      <c r="D73">
        <f t="shared" si="20"/>
        <v>10.437110900878906</v>
      </c>
      <c r="E73">
        <f t="shared" si="21"/>
        <v>748.252197265625</v>
      </c>
      <c r="F73">
        <f t="shared" si="24"/>
        <v>0</v>
      </c>
      <c r="G73">
        <f t="shared" si="22"/>
        <v>139339.65969085693</v>
      </c>
      <c r="H73">
        <f t="shared" si="23"/>
        <v>749.0722045898438</v>
      </c>
      <c r="I73">
        <f t="shared" si="18"/>
        <v>10.437110900878906</v>
      </c>
      <c r="J73">
        <f t="shared" si="19"/>
        <v>0</v>
      </c>
      <c r="K73">
        <f t="shared" si="13"/>
        <v>1</v>
      </c>
    </row>
    <row r="74" spans="1:11" ht="12.75">
      <c r="A74">
        <f t="shared" si="14"/>
        <v>26</v>
      </c>
      <c r="B74">
        <f t="shared" si="15"/>
        <v>4.333333333333333</v>
      </c>
      <c r="C74">
        <f t="shared" si="16"/>
        <v>8.021552085876465</v>
      </c>
      <c r="D74">
        <f t="shared" si="20"/>
        <v>8.021552085876465</v>
      </c>
      <c r="E74">
        <f t="shared" si="21"/>
        <v>748.1610717773438</v>
      </c>
      <c r="F74">
        <f t="shared" si="24"/>
        <v>0</v>
      </c>
      <c r="G74">
        <f t="shared" si="22"/>
        <v>139339.65969085693</v>
      </c>
      <c r="H74">
        <f t="shared" si="23"/>
        <v>749.0722045898438</v>
      </c>
      <c r="I74">
        <f t="shared" si="18"/>
        <v>8.021552085876465</v>
      </c>
      <c r="J74">
        <f t="shared" si="19"/>
        <v>0</v>
      </c>
      <c r="K74">
        <f t="shared" si="13"/>
        <v>1</v>
      </c>
    </row>
    <row r="75" spans="1:11" ht="12.75">
      <c r="A75">
        <f t="shared" si="14"/>
        <v>27</v>
      </c>
      <c r="B75">
        <f t="shared" si="15"/>
        <v>4.5</v>
      </c>
      <c r="C75">
        <f t="shared" si="16"/>
        <v>5.866000175476074</v>
      </c>
      <c r="D75">
        <f t="shared" si="20"/>
        <v>5.866000175476074</v>
      </c>
      <c r="E75">
        <f t="shared" si="21"/>
        <v>748.07373046875</v>
      </c>
      <c r="F75">
        <f t="shared" si="24"/>
        <v>0</v>
      </c>
      <c r="G75">
        <f t="shared" si="22"/>
        <v>139339.65969085693</v>
      </c>
      <c r="H75">
        <f t="shared" si="23"/>
        <v>749.0722045898438</v>
      </c>
      <c r="I75">
        <f t="shared" si="18"/>
        <v>5.866000175476074</v>
      </c>
      <c r="J75">
        <f t="shared" si="19"/>
        <v>0</v>
      </c>
      <c r="K75">
        <f t="shared" si="13"/>
        <v>1</v>
      </c>
    </row>
    <row r="76" spans="1:11" ht="12.75">
      <c r="A76">
        <f t="shared" si="14"/>
        <v>28</v>
      </c>
      <c r="B76">
        <f t="shared" si="15"/>
        <v>4.666666666666667</v>
      </c>
      <c r="C76">
        <f t="shared" si="16"/>
        <v>4.569890975952148</v>
      </c>
      <c r="D76">
        <f t="shared" si="20"/>
        <v>4.569890975952148</v>
      </c>
      <c r="E76">
        <f t="shared" si="21"/>
        <v>748.014404296875</v>
      </c>
      <c r="F76">
        <f t="shared" si="24"/>
        <v>0</v>
      </c>
      <c r="G76">
        <f t="shared" si="22"/>
        <v>139339.65969085693</v>
      </c>
      <c r="H76">
        <f t="shared" si="23"/>
        <v>749.0722045898438</v>
      </c>
      <c r="I76">
        <f t="shared" si="18"/>
        <v>4.569890975952148</v>
      </c>
      <c r="J76">
        <f t="shared" si="19"/>
        <v>0</v>
      </c>
      <c r="K76">
        <f t="shared" si="13"/>
        <v>1</v>
      </c>
    </row>
    <row r="77" spans="1:11" ht="12.75">
      <c r="A77">
        <f t="shared" si="14"/>
        <v>29</v>
      </c>
      <c r="B77">
        <f t="shared" si="15"/>
        <v>4.833333333333333</v>
      </c>
      <c r="C77">
        <f t="shared" si="16"/>
        <v>3.3792221546173096</v>
      </c>
      <c r="D77">
        <f t="shared" si="20"/>
        <v>3.3792221546173096</v>
      </c>
      <c r="E77">
        <f t="shared" si="21"/>
        <v>747.9521484375</v>
      </c>
      <c r="F77">
        <f t="shared" si="24"/>
        <v>0</v>
      </c>
      <c r="G77">
        <f t="shared" si="22"/>
        <v>139339.65969085693</v>
      </c>
      <c r="H77">
        <f t="shared" si="23"/>
        <v>749.0722045898438</v>
      </c>
      <c r="I77">
        <f t="shared" si="18"/>
        <v>3.3792221546173096</v>
      </c>
      <c r="J77">
        <f t="shared" si="19"/>
        <v>0</v>
      </c>
      <c r="K77">
        <f t="shared" si="13"/>
        <v>1</v>
      </c>
    </row>
    <row r="78" spans="1:11" ht="12.75">
      <c r="A78">
        <f t="shared" si="14"/>
        <v>30</v>
      </c>
      <c r="B78">
        <f t="shared" si="15"/>
        <v>5</v>
      </c>
      <c r="C78">
        <f t="shared" si="16"/>
        <v>2.610333204269409</v>
      </c>
      <c r="D78">
        <f t="shared" si="20"/>
        <v>2.610333204269409</v>
      </c>
      <c r="E78">
        <f t="shared" si="21"/>
        <v>747.9119873046875</v>
      </c>
      <c r="F78">
        <f t="shared" si="24"/>
        <v>0</v>
      </c>
      <c r="G78">
        <f t="shared" si="22"/>
        <v>139339.65969085693</v>
      </c>
      <c r="H78">
        <f t="shared" si="23"/>
        <v>749.0722045898438</v>
      </c>
      <c r="I78">
        <f t="shared" si="18"/>
        <v>2.610333204269409</v>
      </c>
      <c r="J78">
        <f t="shared" si="19"/>
        <v>0</v>
      </c>
      <c r="K78">
        <f t="shared" si="13"/>
        <v>1</v>
      </c>
    </row>
    <row r="79" spans="1:11" ht="12.75">
      <c r="A79">
        <f t="shared" si="14"/>
        <v>31</v>
      </c>
      <c r="B79">
        <f t="shared" si="15"/>
        <v>5.166666666666667</v>
      </c>
      <c r="C79">
        <f t="shared" si="16"/>
        <v>1.94700026512146</v>
      </c>
      <c r="D79">
        <f t="shared" si="20"/>
        <v>1.94700026512146</v>
      </c>
      <c r="E79">
        <f t="shared" si="21"/>
        <v>747.8772583007812</v>
      </c>
      <c r="F79">
        <f t="shared" si="24"/>
        <v>0</v>
      </c>
      <c r="G79">
        <f t="shared" si="22"/>
        <v>139339.65969085693</v>
      </c>
      <c r="H79">
        <f t="shared" si="23"/>
        <v>749.0722045898438</v>
      </c>
      <c r="I79">
        <f t="shared" si="18"/>
        <v>1.94700026512146</v>
      </c>
      <c r="J79">
        <f t="shared" si="19"/>
        <v>0</v>
      </c>
      <c r="K79">
        <f t="shared" si="13"/>
        <v>1</v>
      </c>
    </row>
    <row r="80" spans="1:11" ht="12.75">
      <c r="A80">
        <f t="shared" si="14"/>
        <v>32</v>
      </c>
      <c r="B80">
        <f t="shared" si="15"/>
        <v>5.333333333333333</v>
      </c>
      <c r="C80">
        <f t="shared" si="16"/>
        <v>1.4419996738433838</v>
      </c>
      <c r="D80">
        <f t="shared" si="20"/>
        <v>1.4419996738433838</v>
      </c>
      <c r="E80">
        <f t="shared" si="21"/>
        <v>747.833984375</v>
      </c>
      <c r="F80">
        <f t="shared" si="24"/>
        <v>0</v>
      </c>
      <c r="G80">
        <f t="shared" si="22"/>
        <v>139339.65969085693</v>
      </c>
      <c r="H80">
        <f t="shared" si="23"/>
        <v>749.0722045898438</v>
      </c>
      <c r="I80">
        <f t="shared" si="18"/>
        <v>1.4419996738433838</v>
      </c>
      <c r="J80">
        <f t="shared" si="19"/>
        <v>0</v>
      </c>
      <c r="K80">
        <f t="shared" si="13"/>
        <v>1</v>
      </c>
    </row>
    <row r="81" spans="1:11" ht="12.75">
      <c r="A81">
        <f t="shared" si="14"/>
        <v>33</v>
      </c>
      <c r="B81">
        <f t="shared" si="15"/>
        <v>5.5</v>
      </c>
      <c r="C81">
        <f t="shared" si="16"/>
        <v>1.0603333711624146</v>
      </c>
      <c r="D81">
        <f t="shared" si="20"/>
        <v>1.0603333711624146</v>
      </c>
      <c r="E81">
        <f t="shared" si="21"/>
        <v>747.7987670898438</v>
      </c>
      <c r="F81">
        <f t="shared" si="24"/>
        <v>0</v>
      </c>
      <c r="G81">
        <f t="shared" si="22"/>
        <v>139339.65969085693</v>
      </c>
      <c r="H81">
        <f t="shared" si="23"/>
        <v>749.0722045898438</v>
      </c>
      <c r="I81">
        <f t="shared" si="18"/>
        <v>1.0603333711624146</v>
      </c>
      <c r="J81">
        <f t="shared" si="19"/>
        <v>0</v>
      </c>
      <c r="K81">
        <f t="shared" si="13"/>
        <v>1</v>
      </c>
    </row>
    <row r="82" spans="1:11" ht="12.75">
      <c r="A82">
        <f t="shared" si="14"/>
        <v>34</v>
      </c>
      <c r="B82">
        <f t="shared" si="15"/>
        <v>5.666666666666667</v>
      </c>
      <c r="C82">
        <f t="shared" si="16"/>
        <v>0.7608888745307922</v>
      </c>
      <c r="D82">
        <f t="shared" si="20"/>
        <v>0.7608888745307922</v>
      </c>
      <c r="E82">
        <f t="shared" si="21"/>
        <v>747.7711181640625</v>
      </c>
      <c r="F82">
        <f t="shared" si="24"/>
        <v>0</v>
      </c>
      <c r="G82">
        <f t="shared" si="22"/>
        <v>139339.65969085693</v>
      </c>
      <c r="H82">
        <f t="shared" si="23"/>
        <v>749.0722045898438</v>
      </c>
      <c r="I82">
        <f t="shared" si="18"/>
        <v>0.7608888745307922</v>
      </c>
      <c r="J82">
        <f t="shared" si="19"/>
        <v>0</v>
      </c>
      <c r="K82">
        <f t="shared" si="13"/>
        <v>1</v>
      </c>
    </row>
  </sheetData>
  <printOptions/>
  <pageMargins left="0.75" right="0.75" top="0.72" bottom="0.53" header="0.43" footer="0.5"/>
  <pageSetup fitToHeight="1" fitToWidth="1" horizontalDpi="180" verticalDpi="180" orientation="landscape" paperSize="9" scale="4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 Rodolfo S Martins</dc:creator>
  <cp:keywords/>
  <dc:description/>
  <cp:lastModifiedBy>J Rodolfo S Martins</cp:lastModifiedBy>
  <dcterms:created xsi:type="dcterms:W3CDTF">1999-07-14T15:19:34Z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